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56" yWindow="30" windowWidth="20400" windowHeight="8085" tabRatio="178" activeTab="0"/>
  </bookViews>
  <sheets>
    <sheet name="Tabelle1" sheetId="1" r:id="rId1"/>
    <sheet name="Tabelle2" sheetId="2" r:id="rId2"/>
    <sheet name="Tabelle3" sheetId="3" r:id="rId3"/>
  </sheets>
  <definedNames>
    <definedName name="Kleingewerbe">'Tabelle1'!$C$7</definedName>
  </definedNames>
  <calcPr fullCalcOnLoad="1"/>
</workbook>
</file>

<file path=xl/comments1.xml><?xml version="1.0" encoding="utf-8"?>
<comments xmlns="http://schemas.openxmlformats.org/spreadsheetml/2006/main">
  <authors>
    <author>Burkhard</author>
  </authors>
  <commentList>
    <comment ref="L10" authorId="0">
      <text>
        <r>
          <rPr>
            <b/>
            <sz val="9"/>
            <rFont val="Tahoma"/>
            <family val="0"/>
          </rPr>
          <t>Den besten Wert erhalten Sie hier am 31.12. des Jahres</t>
        </r>
      </text>
    </comment>
  </commentList>
</comments>
</file>

<file path=xl/sharedStrings.xml><?xml version="1.0" encoding="utf-8"?>
<sst xmlns="http://schemas.openxmlformats.org/spreadsheetml/2006/main" count="215" uniqueCount="198">
  <si>
    <t>Arbeitspreis</t>
  </si>
  <si>
    <t>Stromsteuer</t>
  </si>
  <si>
    <t>Grundpreis</t>
  </si>
  <si>
    <t>Umsatzsteuer</t>
  </si>
  <si>
    <t>Einspeisevergütung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</si>
  <si>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</si>
  <si>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</si>
  <si>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</si>
  <si>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</si>
  <si>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</si>
  <si>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</si>
  <si>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</si>
  <si>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</si>
  <si>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</si>
  <si>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</si>
  <si>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</si>
  <si>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</si>
  <si>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Hausverbrauch</t>
  </si>
  <si>
    <t>Einspeisung</t>
  </si>
  <si>
    <t>Bezug</t>
  </si>
  <si>
    <t>Einkauf</t>
  </si>
  <si>
    <t>Differenz</t>
  </si>
  <si>
    <t>Verkauf Steuer</t>
  </si>
  <si>
    <t>Eigenverbrauch Steuer</t>
  </si>
  <si>
    <t>Kosten mit Solar</t>
  </si>
  <si>
    <t>Kosten ohne Solar</t>
  </si>
  <si>
    <t>Verkauf netto</t>
  </si>
  <si>
    <t>Eigenverbrauch netto</t>
  </si>
  <si>
    <t>Finanzamt Umsatz</t>
  </si>
  <si>
    <t>Ersparnis dieses Jahr:</t>
  </si>
  <si>
    <t>Jahr</t>
  </si>
  <si>
    <t>Eigenverbrauch</t>
  </si>
  <si>
    <t>Wirkungsgrad</t>
  </si>
  <si>
    <t>Einspeisung * Einspeisevergütung</t>
  </si>
  <si>
    <t>19% von Verkauf netto</t>
  </si>
  <si>
    <t>Eigenverbrauch netto + Einspeisung netto</t>
  </si>
  <si>
    <t>19% von Eigenverbrauch netto</t>
  </si>
  <si>
    <t xml:space="preserve">Einkauf + Eigenverbrauch Steuer - Verkauf netto  </t>
  </si>
  <si>
    <t>(Hausverbrauch * (Arbeitspreis + Stromsteuer)+Grundpreis) + 19%</t>
  </si>
  <si>
    <t>Mit Solar - ohne Solar</t>
  </si>
  <si>
    <t>(Bezug * (Arbeitspreis + Stromsteuer) +Grundpreis) +19%</t>
  </si>
  <si>
    <t>Formeln</t>
  </si>
  <si>
    <t>Elsterformular</t>
  </si>
  <si>
    <t>Zeile26,Feld 81</t>
  </si>
  <si>
    <t>Zeile56,Feld 66</t>
  </si>
  <si>
    <t>Hinweise!!</t>
  </si>
  <si>
    <t xml:space="preserve"> + Umsätze anderer Betriebe</t>
  </si>
  <si>
    <t xml:space="preserve"> + sonstige Vorsteuer aller Betriebe</t>
  </si>
  <si>
    <t>Tatsächlich geleistete Netto Einpseisevergütung</t>
  </si>
  <si>
    <t>Einnahmen</t>
  </si>
  <si>
    <t>Ausgaben</t>
  </si>
  <si>
    <t>Abschreibung 20 Jahre linear:</t>
  </si>
  <si>
    <t>Faktor erstes Jahr:</t>
  </si>
  <si>
    <t>Faktor 21. Jahr:</t>
  </si>
  <si>
    <t>Einnahme-Überschussrechnung</t>
  </si>
  <si>
    <t>Einnahmen:</t>
  </si>
  <si>
    <t>Ausgaben:</t>
  </si>
  <si>
    <t>Sonstige Ausgaben:</t>
  </si>
  <si>
    <t>(100-Wirkungsgrad)*Produktion</t>
  </si>
  <si>
    <t>100 - (100 / Produktion *(Produktion+Bezug-Einspeisung-Hausverbrauch))</t>
  </si>
  <si>
    <t>Bei Tarifänderungen im entsprechendem Monat ändern</t>
  </si>
  <si>
    <t>Anlagenverlust</t>
  </si>
  <si>
    <t>Produktion - Anlagenverlust - Einspeisung</t>
  </si>
  <si>
    <t>Vorsteuer:</t>
  </si>
  <si>
    <t>Bilanz:</t>
  </si>
  <si>
    <t>Gesammtersparnis:</t>
  </si>
  <si>
    <t>Netto Betriebsausgaben</t>
  </si>
  <si>
    <t>Umsatzsteuervoranmeldung nur Solaranlage</t>
  </si>
  <si>
    <t>Tatsächliche Bilanz einer Photovoltaikanlage mit Ausfüllhilfe für Umsatzsteuervoranmeldung, Umsatzsteuererklärung und Geweinnermittlung</t>
  </si>
  <si>
    <t>Umsatzsteuererklärung nur Solar</t>
  </si>
  <si>
    <t>Hinweis: Umsatzsteuer muss für alle Betriebe zusammen mit der perslönlichen Steuernummer angegeben werden</t>
  </si>
  <si>
    <t>Im Monat der Anschaffung (Bezahlung) wird in Feld 66 die Mehrwertsteuer automatisch hinzugerechnet.</t>
  </si>
  <si>
    <t xml:space="preserve">Bedienhinweise: </t>
  </si>
  <si>
    <t>Felder in dieser Farbe sind Eingabefelder.</t>
  </si>
  <si>
    <t>Wird Ihr Hausverbrauch gemessen, kann der Wirkungsgrad berechnet werden.</t>
  </si>
  <si>
    <t>Geben sie anderfalls den Wirkungsgrad des Gesamtsystems an.</t>
  </si>
  <si>
    <t>Persönliche Anmerkungen: Ich habe diese Tabelle für meinen Eigengebrauch nach besten Wissen erstellt. Die unentgeltliche Weitergabe ist ausdrücklich erlaubt!</t>
  </si>
  <si>
    <t>Die Berechnung des Eigenverbrauchs erfolgt oftmals nach: Produktion - Einspeisung. Das ist problematisch. Produktion ist nicht unbedingt</t>
  </si>
  <si>
    <t>Produktion des Gesamtsystems relevant und hier ist der Leistungsverlust der Anlage abzuziehen.</t>
  </si>
  <si>
    <t>Für die korrekte Berechnung des Eigenverbrauchs gibt es mehrere Wege, die im Idealfall alle das gleiche Ergebnis liefern:</t>
  </si>
  <si>
    <t xml:space="preserve">1. Hausverbrauch - Netzbezug </t>
  </si>
  <si>
    <t>2. (Produktion * Wirkungsgrad) - Einspeisung</t>
  </si>
  <si>
    <t>3. Produktion - Verluste - Einspeisung</t>
  </si>
  <si>
    <t>Wenn Sie eine Meßstelle für den Hausverbrauch haben können sie die Verluste errechnen: Produktion + Netzbezug - Einspeisung - Hausverbrauch.</t>
  </si>
  <si>
    <t>Solange sie MEHR als EIN Betrieb führen können sie für KEINEN Betrieb die Kleinunternehmerregelung in Ansrpuch nehmen!!!!</t>
  </si>
  <si>
    <t xml:space="preserve">Ich wünsche Ihnen immer viel Sonne! Ihr Burkhard Venus </t>
  </si>
  <si>
    <t>burkhard@bvenus.de</t>
  </si>
  <si>
    <t>Der Abschnitt Umsatzsteuererklärung wird optimiert, sobald ich das erste mal einen Jahresabschluss erstellen muss.</t>
  </si>
  <si>
    <t>Quelle:</t>
  </si>
  <si>
    <t>https://www.pv-magazine.de/2014/10/29/photovoltaik-eigenverbrauch-umsatzsteuer-richtig-rechnen/</t>
  </si>
  <si>
    <t>zusätzlicher Zähler + Netto Betriebsausgaben</t>
  </si>
  <si>
    <t>* zusätzlicher Zähler nur, wenn Produktion eingetragen wurde</t>
  </si>
  <si>
    <r>
      <t>©</t>
    </r>
    <r>
      <rPr>
        <sz val="10"/>
        <rFont val="Arial"/>
        <family val="2"/>
      </rPr>
      <t xml:space="preserve"> 2017 Burkhard Venus</t>
    </r>
  </si>
  <si>
    <t>Für die Richtigkeit der Berechnungen übernehme ich keine Verantwortung!</t>
  </si>
  <si>
    <t>Sollten Sie bereits vor der Inbetriebnahme der PV Anlage Kleinunternehmer sein, so fällt dafür die Kleinunternehmerregelung weg und der Betrieb</t>
  </si>
  <si>
    <t>wird Umsatzsteuerpflichtig!</t>
  </si>
  <si>
    <t>Hinweis: Abschreibung = (Anschaffung netto - Zuschuss) / 20 Jahre. 1. Jahr anteilig, im 21. Jahr abgezogener Anteil vom 1. Jahr</t>
  </si>
  <si>
    <t>zusätzliche Zählermiete netto</t>
  </si>
  <si>
    <t>netto Zählermiete / Monat</t>
  </si>
  <si>
    <t>Abschreibung Anschaffung Anlage (ggf. anteilig):</t>
  </si>
  <si>
    <t>Herstellungskosten je kW/h:</t>
  </si>
  <si>
    <t>Eigenverbrauch /100 * Wirkungsgrad * Wiederbeschaffungswert + Grundpreis/Hausverbrauch*Eigenverbrauch</t>
  </si>
  <si>
    <t>Eingabefelder für Tarifänderungen.</t>
  </si>
  <si>
    <t>gezahlte Umsatzsteuer</t>
  </si>
  <si>
    <t>private Entnahme</t>
  </si>
  <si>
    <t>Summe</t>
  </si>
  <si>
    <t>Bezahlung der Anlage:</t>
  </si>
  <si>
    <t>Nettokosten der PV-Anlage ohne Speicher*:</t>
  </si>
  <si>
    <t>* Das Speichersystem E3DC S10 ist bei Neuinstallation</t>
  </si>
  <si>
    <t>mit PV 100% abschreibungsfähig, inkl. Speicher !</t>
  </si>
  <si>
    <t>Förderzuschuss:</t>
  </si>
  <si>
    <t>Produktion (Solarmodule)</t>
  </si>
  <si>
    <t>Kreditzinsen</t>
  </si>
  <si>
    <t>Für die Berechnungen wird angenommen, dass die Anlage zu 100% dem Unternemerischen Bereich zugeordnet ist. (100% Mwst. Erstattung)</t>
  </si>
  <si>
    <t>=</t>
  </si>
  <si>
    <t>+</t>
  </si>
  <si>
    <t>Umsatzsteuer Eigenverbrauch:</t>
  </si>
  <si>
    <t>Zeile 38</t>
  </si>
  <si>
    <t>Zeile 39</t>
  </si>
  <si>
    <t>Zeile 62</t>
  </si>
  <si>
    <t>Kontofürhung / Jahr</t>
  </si>
  <si>
    <t>Versicherungen / Jahr</t>
  </si>
  <si>
    <t>Betriebsjahr der Anlage:</t>
  </si>
  <si>
    <t>Betriebsausgaben netto</t>
  </si>
  <si>
    <t>Vorsteuer Betriebsausgaben</t>
  </si>
  <si>
    <t>Ersparnis Vorjahr(e):</t>
  </si>
  <si>
    <t>Betriebsausgaben</t>
  </si>
  <si>
    <t>Vierteljährlich</t>
  </si>
  <si>
    <t>Halbjährlich</t>
  </si>
  <si>
    <t>Jährlich</t>
  </si>
  <si>
    <t>2. Jahr</t>
  </si>
  <si>
    <t>1. Jahr</t>
  </si>
  <si>
    <t>3. Jahr</t>
  </si>
  <si>
    <t>4. Jahr</t>
  </si>
  <si>
    <t>5. Jahr</t>
  </si>
  <si>
    <t>Sonderabschreibung</t>
  </si>
  <si>
    <t>in %</t>
  </si>
  <si>
    <t>Sonerabschreibung</t>
  </si>
  <si>
    <t>insgesammt maximal 20% über 5 Jahre!</t>
  </si>
  <si>
    <t>ohne Sonderabschreibung:</t>
  </si>
  <si>
    <t>mit Sonderabschreibung:</t>
  </si>
  <si>
    <t>Eigenverbrauch = kW/h * Wiederbeschaffungswert + Grundpreis anteilig</t>
  </si>
  <si>
    <t>Wiederbeschaffungswert = Marktpreis netto oder Herstellungskosten (erst am 31.12. berechenbar)</t>
  </si>
  <si>
    <t>Ersparnis =</t>
  </si>
  <si>
    <t>Umsatz =</t>
  </si>
  <si>
    <t>Kosten Ohne Solaranlage</t>
  </si>
  <si>
    <t>Kosten mit Solaranlage</t>
  </si>
  <si>
    <t>im Gegensatz zu Umsatz und Gewinnermittlung, werden hier die errechneteten Einnahmen verwendet, nicht die eingegangenen Zahlungen</t>
  </si>
  <si>
    <t>Einspeisevergütung netto (tatsächlich geflossenes Geld)+ Eigenverbrauch netto</t>
  </si>
  <si>
    <t>Grundpreis anteilig = Grundpreis netto / Hausverbrauch kW/h * Eigenverbrauch kW/h</t>
  </si>
  <si>
    <t>Gewinnermittlung =</t>
  </si>
  <si>
    <t>Einnahmen - Ausgaben</t>
  </si>
  <si>
    <t>Einnahmen =</t>
  </si>
  <si>
    <t>Einspeisevergütung netto (tatsächlich geflossenes Geld) + private Entnahme (Sachentnahme)</t>
  </si>
  <si>
    <t>private Entnahme = Eigenverbrauch (siehe Umsatz) + 19%</t>
  </si>
  <si>
    <t>Ausgaben =</t>
  </si>
  <si>
    <t>Betriebsausgaben (Zählerkosten + Eingabe Zeile 19)</t>
  </si>
  <si>
    <t>gezahlte Umsatzsteuer auf Eigenverbrauch</t>
  </si>
  <si>
    <t>Kontoführungsgebühren</t>
  </si>
  <si>
    <t>Versicherungen für die Anlage</t>
  </si>
  <si>
    <t>Sonderabschreibungen</t>
  </si>
  <si>
    <t xml:space="preserve"> Lineare Abschreibung über 20 Jahre = Anschaffungskosten / 20. Im 1. Jahr anteilig = Anschaffung im Dezember 1/12tel. Im 21. Jahr 11/12tel</t>
  </si>
  <si>
    <t>Betriebsvermögen darf Genze nicht überschreiten (235.000€).</t>
  </si>
  <si>
    <t>Sonderabschreibung:</t>
  </si>
  <si>
    <t>Innerhalb 5 Jahren 20% der Anschaffungskosten, Verteilung frei wählbar.</t>
  </si>
  <si>
    <t>Sonderabschreibung wird nicht anteilig im Anschaffungsjahr berechnet.</t>
  </si>
  <si>
    <t>Abschreibung</t>
  </si>
  <si>
    <t>Wenn die 20% ausgeschöpft wurden, spätestens im 6. Jahr, reduziert sich der Anlagenwert um den abgeschriebenen Betrag. Von da an lineare Abschreibung von diesem Betrag/20.</t>
  </si>
  <si>
    <t xml:space="preserve">Ausgeschöpft nach </t>
  </si>
  <si>
    <t>Jahren. (neuberechnung Anlagenwert)</t>
  </si>
  <si>
    <t>* spätestens ab dem 6. Jahr verringert sich der Anlagenwert um diesen Betrag!</t>
  </si>
  <si>
    <t>Herstellungskosten = Kosten der Anlage im Jahr(Abschreibung + tatsächlich geflossenes Geld) / netto Produktion der Anlage (Ohne Anlagenverluste)</t>
  </si>
  <si>
    <t>Abschreibung:</t>
  </si>
  <si>
    <t>Lineare Abschreibung und Sonderabschreibungen werden in den Jahren zusammen abgezogen!</t>
  </si>
  <si>
    <t xml:space="preserve">die Angabe auf dem Display des Wechselrichters, denn hier wird ggf. die Produktion der Solarmodule angezeigt. Für den Eigenverbrauch ist aber die </t>
  </si>
  <si>
    <t xml:space="preserve">Zum Eigenverbrauch wird, entsprechend der Vorgabe, anteilig der Grundpreis hinzurerechnet (Grundpreis/ Hausverbrauch / Eingenverbrauch)  </t>
  </si>
  <si>
    <t>Wiederbeschaffungswert: Für den Betrag je kW/h können sie den Marktpreis zu Grunde legen oder die Herstellungskosten (Jahreskosten / (Produktion - Verluste))</t>
  </si>
  <si>
    <t>Grundlage:</t>
  </si>
  <si>
    <t>= netto Anschaffungskosten</t>
  </si>
  <si>
    <t>= (Sonderabschreibungen + lineare Abschreibung)</t>
  </si>
  <si>
    <t>= Jahre während Sonderabschreibung + (lineare Abschreibung reduzierter Anlagenwert * Restzeit)</t>
  </si>
  <si>
    <t>= (Verminderung der Einspeisevergütung oder Herstellungskosten)</t>
  </si>
  <si>
    <t>Betriebseinnahmen</t>
  </si>
  <si>
    <t>Basis Sachwert kW/h für Bilanz</t>
  </si>
  <si>
    <t>Vereinnahmte Umsatzst.</t>
  </si>
  <si>
    <t>Monatsbilanz</t>
  </si>
  <si>
    <t>Betriebskosten Durchschnitt</t>
  </si>
  <si>
    <t>Tilgung</t>
  </si>
  <si>
    <t>Annahme: für alle Betriebskosten wurden 19% Mwst. gezahlt</t>
  </si>
  <si>
    <t>Als Steuersatzsteuer werden überall 19% angenommen!</t>
  </si>
  <si>
    <t>ge</t>
  </si>
  <si>
    <t>Kaufmännische Laufzeit</t>
  </si>
  <si>
    <t>Jahre</t>
  </si>
  <si>
    <t>virtuelle Kostenerhöhung auf 20 Jahre:</t>
  </si>
  <si>
    <t>normal 20 Jahre</t>
  </si>
  <si>
    <t>Netto Einnahmen andere Betriebe</t>
  </si>
  <si>
    <t>Wiederbeschaffungswert Netto</t>
  </si>
  <si>
    <t>Gezahlte Mehrwertsteuer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</si>
</sst>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[$-407]dddd\,\ d\.\ mmmm\ yyyy"/>
    <numFmt numFmtId="167" formatCode="#,##0.00\ _€"/>
    <numFmt numFmtId="168" formatCode="@&quot; kW/h&quot;"/>
    <numFmt numFmtId="169" formatCode="@&quot;kW/h&quot;"/>
    <numFmt numFmtId="170" formatCode="0\ &quot;kW/h&quot;"/>
    <numFmt numFmtId="171" formatCode="#,##0.0000\ &quot;cent&quot;"/>
    <numFmt numFmtId="172" formatCode="#,##0.0000\ &quot;€&quot;"/>
    <numFmt numFmtId="173" formatCode="0.00\ &quot;%&quot;"/>
    <numFmt numFmtId="174" formatCode="#,##0.0000\ _€"/>
    <numFmt numFmtId="175" formatCode="0&quot;. Jahr&quot;"/>
    <numFmt numFmtId="176" formatCode="0.0%"/>
    <numFmt numFmtId="177" formatCode="0\ &quot;cent/kW/h&quot;"/>
    <numFmt numFmtId="178" formatCode="0.00\ &quot;cent/kW/h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\ _€"/>
  </numFmts>
  <fonts count="10"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Tahoma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2" borderId="9" xfId="0" applyNumberFormat="1" applyFill="1" applyBorder="1" applyAlignment="1">
      <alignment/>
    </xf>
    <xf numFmtId="173" fontId="0" fillId="0" borderId="6" xfId="0" applyNumberFormat="1" applyFill="1" applyBorder="1" applyAlignment="1">
      <alignment/>
    </xf>
    <xf numFmtId="173" fontId="0" fillId="3" borderId="13" xfId="0" applyNumberFormat="1" applyFill="1" applyBorder="1" applyAlignment="1" applyProtection="1">
      <alignment/>
      <protection locked="0"/>
    </xf>
    <xf numFmtId="173" fontId="0" fillId="3" borderId="1" xfId="0" applyNumberFormat="1" applyFill="1" applyBorder="1" applyAlignment="1" applyProtection="1">
      <alignment/>
      <protection locked="0"/>
    </xf>
    <xf numFmtId="172" fontId="0" fillId="4" borderId="13" xfId="0" applyNumberFormat="1" applyFill="1" applyBorder="1" applyAlignment="1" applyProtection="1">
      <alignment/>
      <protection locked="0"/>
    </xf>
    <xf numFmtId="172" fontId="0" fillId="4" borderId="1" xfId="0" applyNumberFormat="1" applyFill="1" applyBorder="1" applyAlignment="1" applyProtection="1">
      <alignment/>
      <protection locked="0"/>
    </xf>
    <xf numFmtId="172" fontId="0" fillId="4" borderId="14" xfId="0" applyNumberFormat="1" applyFill="1" applyBorder="1" applyAlignment="1" applyProtection="1">
      <alignment/>
      <protection locked="0"/>
    </xf>
    <xf numFmtId="172" fontId="0" fillId="4" borderId="12" xfId="0" applyNumberFormat="1" applyFill="1" applyBorder="1" applyAlignment="1" applyProtection="1">
      <alignment/>
      <protection locked="0"/>
    </xf>
    <xf numFmtId="172" fontId="0" fillId="4" borderId="15" xfId="0" applyNumberFormat="1" applyFill="1" applyBorder="1" applyAlignment="1" applyProtection="1">
      <alignment/>
      <protection locked="0"/>
    </xf>
    <xf numFmtId="172" fontId="0" fillId="4" borderId="9" xfId="0" applyNumberForma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164" fontId="0" fillId="5" borderId="1" xfId="0" applyNumberFormat="1" applyFill="1" applyBorder="1" applyAlignment="1" applyProtection="1">
      <alignment/>
      <protection locked="0"/>
    </xf>
    <xf numFmtId="164" fontId="0" fillId="5" borderId="13" xfId="0" applyNumberFormat="1" applyFill="1" applyBorder="1" applyAlignment="1" applyProtection="1">
      <alignment/>
      <protection locked="0"/>
    </xf>
    <xf numFmtId="164" fontId="0" fillId="5" borderId="14" xfId="0" applyNumberFormat="1" applyFill="1" applyBorder="1" applyAlignment="1" applyProtection="1">
      <alignment/>
      <protection locked="0"/>
    </xf>
    <xf numFmtId="14" fontId="0" fillId="3" borderId="10" xfId="0" applyNumberFormat="1" applyFont="1" applyFill="1" applyBorder="1" applyAlignment="1" applyProtection="1">
      <alignment horizontal="left"/>
      <protection locked="0"/>
    </xf>
    <xf numFmtId="164" fontId="0" fillId="3" borderId="10" xfId="0" applyNumberFormat="1" applyFont="1" applyFill="1" applyBorder="1" applyAlignment="1" applyProtection="1">
      <alignment horizontal="left"/>
      <protection locked="0"/>
    </xf>
    <xf numFmtId="164" fontId="0" fillId="3" borderId="11" xfId="0" applyNumberFormat="1" applyFont="1" applyFill="1" applyBorder="1" applyAlignment="1" applyProtection="1">
      <alignment horizontal="left"/>
      <protection locked="0"/>
    </xf>
    <xf numFmtId="164" fontId="0" fillId="4" borderId="16" xfId="0" applyNumberFormat="1" applyFill="1" applyBorder="1" applyAlignment="1" applyProtection="1">
      <alignment/>
      <protection locked="0"/>
    </xf>
    <xf numFmtId="164" fontId="0" fillId="4" borderId="17" xfId="0" applyNumberFormat="1" applyFill="1" applyBorder="1" applyAlignment="1" applyProtection="1">
      <alignment/>
      <protection locked="0"/>
    </xf>
    <xf numFmtId="164" fontId="0" fillId="0" borderId="1" xfId="0" applyNumberFormat="1" applyFill="1" applyBorder="1" applyAlignment="1" applyProtection="1">
      <alignment/>
      <protection/>
    </xf>
    <xf numFmtId="164" fontId="0" fillId="0" borderId="4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3" xfId="0" applyNumberFormat="1" applyFill="1" applyBorder="1" applyAlignment="1" applyProtection="1">
      <alignment/>
      <protection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4" xfId="0" applyNumberFormat="1" applyFill="1" applyBorder="1" applyAlignment="1" applyProtection="1">
      <alignment/>
      <protection/>
    </xf>
    <xf numFmtId="0" fontId="2" fillId="0" borderId="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64" fontId="0" fillId="0" borderId="0" xfId="0" applyNumberFormat="1" applyBorder="1" applyAlignment="1">
      <alignment/>
    </xf>
    <xf numFmtId="0" fontId="0" fillId="6" borderId="0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3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3" borderId="24" xfId="0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3" fillId="0" borderId="0" xfId="18" applyAlignment="1">
      <alignment/>
    </xf>
    <xf numFmtId="164" fontId="0" fillId="0" borderId="1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7" borderId="1" xfId="0" applyNumberFormat="1" applyFont="1" applyFill="1" applyBorder="1" applyAlignment="1">
      <alignment/>
    </xf>
    <xf numFmtId="164" fontId="0" fillId="7" borderId="14" xfId="0" applyNumberFormat="1" applyFont="1" applyFill="1" applyBorder="1" applyAlignment="1">
      <alignment/>
    </xf>
    <xf numFmtId="164" fontId="0" fillId="7" borderId="19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10" fontId="0" fillId="3" borderId="17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2" fontId="0" fillId="8" borderId="11" xfId="0" applyNumberFormat="1" applyFill="1" applyBorder="1" applyAlignment="1" applyProtection="1">
      <alignment horizontal="center"/>
      <protection locked="0"/>
    </xf>
    <xf numFmtId="0" fontId="1" fillId="6" borderId="25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right"/>
    </xf>
    <xf numFmtId="170" fontId="0" fillId="5" borderId="4" xfId="0" applyNumberFormat="1" applyFill="1" applyBorder="1" applyAlignment="1" applyProtection="1">
      <alignment/>
      <protection locked="0"/>
    </xf>
    <xf numFmtId="170" fontId="0" fillId="5" borderId="10" xfId="0" applyNumberFormat="1" applyFill="1" applyBorder="1" applyAlignment="1" applyProtection="1">
      <alignment/>
      <protection locked="0"/>
    </xf>
    <xf numFmtId="170" fontId="0" fillId="5" borderId="11" xfId="0" applyNumberFormat="1" applyFill="1" applyBorder="1" applyAlignment="1" applyProtection="1">
      <alignment/>
      <protection locked="0"/>
    </xf>
    <xf numFmtId="170" fontId="0" fillId="5" borderId="13" xfId="0" applyNumberFormat="1" applyFill="1" applyBorder="1" applyAlignment="1" applyProtection="1">
      <alignment/>
      <protection locked="0"/>
    </xf>
    <xf numFmtId="170" fontId="0" fillId="5" borderId="1" xfId="0" applyNumberFormat="1" applyFill="1" applyBorder="1" applyAlignment="1" applyProtection="1">
      <alignment/>
      <protection locked="0"/>
    </xf>
    <xf numFmtId="170" fontId="0" fillId="5" borderId="14" xfId="0" applyNumberFormat="1" applyFill="1" applyBorder="1" applyAlignment="1" applyProtection="1">
      <alignment/>
      <protection locked="0"/>
    </xf>
    <xf numFmtId="170" fontId="0" fillId="0" borderId="5" xfId="0" applyNumberFormat="1" applyFill="1" applyBorder="1" applyAlignment="1">
      <alignment/>
    </xf>
    <xf numFmtId="170" fontId="0" fillId="0" borderId="2" xfId="0" applyNumberFormat="1" applyFill="1" applyBorder="1" applyAlignment="1">
      <alignment/>
    </xf>
    <xf numFmtId="170" fontId="0" fillId="0" borderId="26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170" fontId="0" fillId="0" borderId="15" xfId="0" applyNumberFormat="1" applyFill="1" applyBorder="1" applyAlignment="1">
      <alignment/>
    </xf>
    <xf numFmtId="170" fontId="0" fillId="0" borderId="9" xfId="0" applyNumberFormat="1" applyFill="1" applyBorder="1" applyAlignment="1">
      <alignment/>
    </xf>
    <xf numFmtId="172" fontId="0" fillId="0" borderId="0" xfId="0" applyNumberFormat="1" applyAlignment="1">
      <alignment/>
    </xf>
    <xf numFmtId="164" fontId="0" fillId="3" borderId="14" xfId="0" applyNumberFormat="1" applyFill="1" applyBorder="1" applyAlignment="1" applyProtection="1">
      <alignment/>
      <protection/>
    </xf>
    <xf numFmtId="175" fontId="0" fillId="0" borderId="0" xfId="0" applyNumberFormat="1" applyAlignment="1">
      <alignment horizontal="left"/>
    </xf>
    <xf numFmtId="0" fontId="0" fillId="6" borderId="27" xfId="0" applyFill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164" fontId="0" fillId="8" borderId="9" xfId="0" applyNumberFormat="1" applyFill="1" applyBorder="1" applyAlignment="1">
      <alignment/>
    </xf>
    <xf numFmtId="164" fontId="0" fillId="7" borderId="1" xfId="0" applyNumberFormat="1" applyFont="1" applyFill="1" applyBorder="1" applyAlignment="1" quotePrefix="1">
      <alignment/>
    </xf>
    <xf numFmtId="0" fontId="0" fillId="3" borderId="29" xfId="0" applyFill="1" applyBorder="1" applyAlignment="1" applyProtection="1">
      <alignment/>
      <protection locked="0"/>
    </xf>
    <xf numFmtId="164" fontId="0" fillId="8" borderId="30" xfId="0" applyNumberFormat="1" applyFill="1" applyBorder="1" applyAlignment="1">
      <alignment/>
    </xf>
    <xf numFmtId="164" fontId="0" fillId="0" borderId="31" xfId="0" applyNumberFormat="1" applyBorder="1" applyAlignment="1">
      <alignment/>
    </xf>
    <xf numFmtId="164" fontId="0" fillId="9" borderId="32" xfId="0" applyNumberFormat="1" applyFill="1" applyBorder="1" applyAlignment="1">
      <alignment/>
    </xf>
    <xf numFmtId="164" fontId="0" fillId="9" borderId="33" xfId="0" applyNumberFormat="1" applyFill="1" applyBorder="1" applyAlignment="1">
      <alignment/>
    </xf>
    <xf numFmtId="164" fontId="0" fillId="9" borderId="34" xfId="0" applyNumberFormat="1" applyFill="1" applyBorder="1" applyAlignment="1">
      <alignment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37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165" fontId="0" fillId="2" borderId="10" xfId="0" applyNumberFormat="1" applyFont="1" applyFill="1" applyBorder="1" applyAlignment="1" applyProtection="1">
      <alignment/>
      <protection hidden="1"/>
    </xf>
    <xf numFmtId="164" fontId="0" fillId="2" borderId="12" xfId="0" applyNumberFormat="1" applyFont="1" applyFill="1" applyBorder="1" applyAlignment="1" applyProtection="1">
      <alignment/>
      <protection hidden="1"/>
    </xf>
    <xf numFmtId="164" fontId="0" fillId="2" borderId="15" xfId="0" applyNumberFormat="1" applyFont="1" applyFill="1" applyBorder="1" applyAlignment="1" applyProtection="1">
      <alignment/>
      <protection hidden="1"/>
    </xf>
    <xf numFmtId="164" fontId="0" fillId="2" borderId="9" xfId="0" applyNumberFormat="1" applyFont="1" applyFill="1" applyBorder="1" applyAlignment="1" applyProtection="1">
      <alignment/>
      <protection hidden="1"/>
    </xf>
    <xf numFmtId="0" fontId="0" fillId="7" borderId="0" xfId="0" applyFill="1" applyBorder="1" applyAlignment="1">
      <alignment/>
    </xf>
    <xf numFmtId="0" fontId="0" fillId="10" borderId="0" xfId="0" applyFill="1" applyBorder="1" applyAlignment="1">
      <alignment/>
    </xf>
    <xf numFmtId="0" fontId="0" fillId="8" borderId="0" xfId="0" applyFill="1" applyBorder="1" applyAlignment="1">
      <alignment/>
    </xf>
    <xf numFmtId="176" fontId="0" fillId="3" borderId="10" xfId="0" applyNumberFormat="1" applyFill="1" applyBorder="1" applyAlignment="1" applyProtection="1">
      <alignment/>
      <protection locked="0"/>
    </xf>
    <xf numFmtId="176" fontId="0" fillId="3" borderId="1" xfId="0" applyNumberFormat="1" applyFill="1" applyBorder="1" applyAlignment="1" applyProtection="1">
      <alignment/>
      <protection locked="0"/>
    </xf>
    <xf numFmtId="176" fontId="0" fillId="3" borderId="15" xfId="0" applyNumberFormat="1" applyFill="1" applyBorder="1" applyAlignment="1" applyProtection="1">
      <alignment/>
      <protection locked="0"/>
    </xf>
    <xf numFmtId="176" fontId="0" fillId="0" borderId="38" xfId="0" applyNumberFormat="1" applyFill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5" fillId="0" borderId="39" xfId="0" applyFont="1" applyBorder="1" applyAlignment="1">
      <alignment horizontal="right"/>
    </xf>
    <xf numFmtId="172" fontId="0" fillId="0" borderId="40" xfId="0" applyNumberFormat="1" applyBorder="1" applyAlignment="1">
      <alignment/>
    </xf>
    <xf numFmtId="0" fontId="0" fillId="0" borderId="40" xfId="0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164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0" fontId="1" fillId="0" borderId="26" xfId="0" applyFont="1" applyBorder="1" applyAlignment="1">
      <alignment horizontal="left"/>
    </xf>
    <xf numFmtId="0" fontId="0" fillId="0" borderId="42" xfId="0" applyBorder="1" applyAlignment="1" quotePrefix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7" xfId="0" applyBorder="1" applyAlignment="1">
      <alignment horizontal="left"/>
    </xf>
    <xf numFmtId="0" fontId="0" fillId="0" borderId="15" xfId="0" applyFont="1" applyFill="1" applyBorder="1" applyAlignment="1" applyProtection="1">
      <alignment horizontal="left"/>
      <protection locked="0"/>
    </xf>
    <xf numFmtId="164" fontId="0" fillId="0" borderId="15" xfId="0" applyNumberFormat="1" applyFont="1" applyFill="1" applyBorder="1" applyAlignment="1" applyProtection="1">
      <alignment horizontal="left"/>
      <protection locked="0"/>
    </xf>
    <xf numFmtId="164" fontId="0" fillId="0" borderId="9" xfId="0" applyNumberFormat="1" applyFon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2" borderId="44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4" xfId="0" applyNumberFormat="1" applyFill="1" applyBorder="1" applyAlignment="1">
      <alignment/>
    </xf>
    <xf numFmtId="164" fontId="0" fillId="8" borderId="4" xfId="0" applyNumberFormat="1" applyFill="1" applyBorder="1" applyAlignment="1">
      <alignment/>
    </xf>
    <xf numFmtId="164" fontId="0" fillId="8" borderId="10" xfId="0" applyNumberFormat="1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5" borderId="16" xfId="0" applyNumberFormat="1" applyFill="1" applyBorder="1" applyAlignment="1" applyProtection="1">
      <alignment/>
      <protection locked="0"/>
    </xf>
    <xf numFmtId="164" fontId="0" fillId="5" borderId="17" xfId="0" applyNumberFormat="1" applyFill="1" applyBorder="1" applyAlignment="1" applyProtection="1">
      <alignment/>
      <protection locked="0"/>
    </xf>
    <xf numFmtId="164" fontId="0" fillId="5" borderId="44" xfId="0" applyNumberFormat="1" applyFill="1" applyBorder="1" applyAlignment="1" applyProtection="1">
      <alignment/>
      <protection locked="0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4" fontId="0" fillId="2" borderId="1" xfId="0" applyNumberFormat="1" applyFont="1" applyFill="1" applyBorder="1" applyAlignment="1" applyProtection="1">
      <alignment/>
      <protection hidden="1"/>
    </xf>
    <xf numFmtId="165" fontId="0" fillId="2" borderId="11" xfId="0" applyNumberFormat="1" applyFont="1" applyFill="1" applyBorder="1" applyAlignment="1" applyProtection="1">
      <alignment/>
      <protection hidden="1"/>
    </xf>
    <xf numFmtId="164" fontId="0" fillId="2" borderId="14" xfId="0" applyNumberFormat="1" applyFont="1" applyFill="1" applyBorder="1" applyAlignment="1" applyProtection="1">
      <alignment/>
      <protection hidden="1"/>
    </xf>
    <xf numFmtId="165" fontId="0" fillId="2" borderId="49" xfId="0" applyNumberFormat="1" applyFont="1" applyFill="1" applyBorder="1" applyAlignment="1" applyProtection="1">
      <alignment/>
      <protection hidden="1"/>
    </xf>
    <xf numFmtId="164" fontId="0" fillId="2" borderId="50" xfId="0" applyNumberFormat="1" applyFont="1" applyFill="1" applyBorder="1" applyAlignment="1" applyProtection="1">
      <alignment/>
      <protection hidden="1"/>
    </xf>
    <xf numFmtId="164" fontId="0" fillId="2" borderId="51" xfId="0" applyNumberFormat="1" applyFont="1" applyFill="1" applyBorder="1" applyAlignment="1" applyProtection="1">
      <alignment/>
      <protection hidden="1"/>
    </xf>
    <xf numFmtId="165" fontId="0" fillId="2" borderId="4" xfId="0" applyNumberFormat="1" applyFont="1" applyFill="1" applyBorder="1" applyAlignment="1" applyProtection="1">
      <alignment/>
      <protection hidden="1"/>
    </xf>
    <xf numFmtId="164" fontId="0" fillId="2" borderId="13" xfId="0" applyNumberFormat="1" applyFont="1" applyFill="1" applyBorder="1" applyAlignment="1" applyProtection="1">
      <alignment/>
      <protection hidden="1"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0" fontId="0" fillId="0" borderId="9" xfId="0" applyBorder="1" applyAlignment="1">
      <alignment/>
    </xf>
    <xf numFmtId="0" fontId="0" fillId="3" borderId="12" xfId="0" applyFont="1" applyFill="1" applyBorder="1" applyAlignment="1">
      <alignment/>
    </xf>
    <xf numFmtId="170" fontId="0" fillId="8" borderId="36" xfId="0" applyNumberFormat="1" applyFill="1" applyBorder="1" applyAlignment="1">
      <alignment/>
    </xf>
    <xf numFmtId="164" fontId="0" fillId="5" borderId="52" xfId="0" applyNumberFormat="1" applyFill="1" applyBorder="1" applyAlignment="1" applyProtection="1">
      <alignment/>
      <protection locked="0"/>
    </xf>
    <xf numFmtId="164" fontId="0" fillId="5" borderId="53" xfId="0" applyNumberFormat="1" applyFill="1" applyBorder="1" applyAlignment="1" applyProtection="1">
      <alignment/>
      <protection locked="0"/>
    </xf>
    <xf numFmtId="164" fontId="0" fillId="5" borderId="54" xfId="0" applyNumberFormat="1" applyFill="1" applyBorder="1" applyAlignment="1" applyProtection="1">
      <alignment/>
      <protection locked="0"/>
    </xf>
    <xf numFmtId="170" fontId="0" fillId="8" borderId="32" xfId="0" applyNumberFormat="1" applyFill="1" applyBorder="1" applyAlignment="1">
      <alignment/>
    </xf>
    <xf numFmtId="170" fontId="0" fillId="8" borderId="33" xfId="0" applyNumberFormat="1" applyFill="1" applyBorder="1" applyAlignment="1">
      <alignment/>
    </xf>
    <xf numFmtId="164" fontId="0" fillId="8" borderId="33" xfId="0" applyNumberFormat="1" applyFill="1" applyBorder="1" applyAlignment="1">
      <alignment/>
    </xf>
    <xf numFmtId="164" fontId="0" fillId="8" borderId="55" xfId="0" applyNumberFormat="1" applyFill="1" applyBorder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39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164" fontId="0" fillId="7" borderId="13" xfId="0" applyNumberFormat="1" applyFont="1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56" xfId="0" applyNumberFormat="1" applyBorder="1" applyAlignment="1">
      <alignment/>
    </xf>
    <xf numFmtId="164" fontId="0" fillId="0" borderId="0" xfId="0" applyNumberFormat="1" applyAlignment="1">
      <alignment/>
    </xf>
    <xf numFmtId="0" fontId="0" fillId="8" borderId="9" xfId="0" applyFill="1" applyBorder="1" applyAlignment="1">
      <alignment horizontal="center"/>
    </xf>
    <xf numFmtId="183" fontId="0" fillId="7" borderId="49" xfId="0" applyNumberFormat="1" applyFill="1" applyBorder="1" applyAlignment="1" applyProtection="1">
      <alignment horizontal="center"/>
      <protection hidden="1"/>
    </xf>
    <xf numFmtId="0" fontId="0" fillId="8" borderId="15" xfId="0" applyFill="1" applyBorder="1" applyAlignment="1">
      <alignment horizontal="center"/>
    </xf>
    <xf numFmtId="164" fontId="0" fillId="7" borderId="51" xfId="0" applyNumberFormat="1" applyFill="1" applyBorder="1" applyAlignment="1" applyProtection="1">
      <alignment horizontal="center"/>
      <protection hidden="1"/>
    </xf>
    <xf numFmtId="0" fontId="0" fillId="7" borderId="15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64" fontId="0" fillId="7" borderId="12" xfId="0" applyNumberFormat="1" applyFill="1" applyBorder="1" applyAlignment="1" applyProtection="1">
      <alignment horizontal="center"/>
      <protection hidden="1"/>
    </xf>
    <xf numFmtId="183" fontId="0" fillId="10" borderId="4" xfId="0" applyNumberFormat="1" applyFill="1" applyBorder="1" applyAlignment="1" applyProtection="1">
      <alignment horizontal="center"/>
      <protection hidden="1"/>
    </xf>
    <xf numFmtId="183" fontId="0" fillId="10" borderId="10" xfId="0" applyNumberFormat="1" applyFill="1" applyBorder="1" applyAlignment="1">
      <alignment horizontal="center"/>
    </xf>
    <xf numFmtId="183" fontId="0" fillId="10" borderId="11" xfId="0" applyNumberFormat="1" applyFill="1" applyBorder="1" applyAlignment="1">
      <alignment horizontal="center"/>
    </xf>
    <xf numFmtId="164" fontId="0" fillId="10" borderId="13" xfId="0" applyNumberFormat="1" applyFill="1" applyBorder="1" applyAlignment="1" applyProtection="1">
      <alignment horizontal="center"/>
      <protection hidden="1"/>
    </xf>
    <xf numFmtId="0" fontId="0" fillId="10" borderId="1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64" fontId="0" fillId="8" borderId="50" xfId="0" applyNumberFormat="1" applyFill="1" applyBorder="1" applyAlignment="1" applyProtection="1">
      <alignment horizontal="center"/>
      <protection hidden="1"/>
    </xf>
    <xf numFmtId="0" fontId="0" fillId="8" borderId="1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64" fontId="0" fillId="0" borderId="22" xfId="0" applyNumberForma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183" fontId="0" fillId="8" borderId="49" xfId="0" applyNumberFormat="1" applyFill="1" applyBorder="1" applyAlignment="1" applyProtection="1">
      <alignment horizontal="center"/>
      <protection hidden="1"/>
    </xf>
    <xf numFmtId="183" fontId="0" fillId="8" borderId="10" xfId="0" applyNumberFormat="1" applyFill="1" applyBorder="1" applyAlignment="1">
      <alignment horizontal="center"/>
    </xf>
    <xf numFmtId="183" fontId="0" fillId="8" borderId="11" xfId="0" applyNumberFormat="1" applyFill="1" applyBorder="1" applyAlignment="1">
      <alignment horizontal="center"/>
    </xf>
    <xf numFmtId="183" fontId="0" fillId="10" borderId="49" xfId="0" applyNumberFormat="1" applyFill="1" applyBorder="1" applyAlignment="1" applyProtection="1">
      <alignment horizontal="center"/>
      <protection hidden="1"/>
    </xf>
    <xf numFmtId="164" fontId="0" fillId="10" borderId="50" xfId="0" applyNumberFormat="1" applyFill="1" applyBorder="1" applyAlignment="1" applyProtection="1">
      <alignment horizontal="center"/>
      <protection hidden="1"/>
    </xf>
    <xf numFmtId="164" fontId="0" fillId="10" borderId="51" xfId="0" applyNumberFormat="1" applyFill="1" applyBorder="1" applyAlignment="1" applyProtection="1">
      <alignment horizontal="center"/>
      <protection hidden="1"/>
    </xf>
    <xf numFmtId="0" fontId="0" fillId="10" borderId="15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4" fontId="0" fillId="10" borderId="12" xfId="0" applyNumberFormat="1" applyFill="1" applyBorder="1" applyAlignment="1" applyProtection="1">
      <alignment horizontal="center"/>
      <protection hidden="1"/>
    </xf>
    <xf numFmtId="164" fontId="0" fillId="8" borderId="51" xfId="0" applyNumberFormat="1" applyFill="1" applyBorder="1" applyAlignment="1" applyProtection="1">
      <alignment horizontal="center"/>
      <protection hidden="1"/>
    </xf>
    <xf numFmtId="183" fontId="0" fillId="7" borderId="10" xfId="0" applyNumberFormat="1" applyFill="1" applyBorder="1" applyAlignment="1">
      <alignment horizontal="center"/>
    </xf>
    <xf numFmtId="183" fontId="0" fillId="7" borderId="11" xfId="0" applyNumberFormat="1" applyFill="1" applyBorder="1" applyAlignment="1">
      <alignment horizontal="center"/>
    </xf>
    <xf numFmtId="164" fontId="0" fillId="7" borderId="50" xfId="0" applyNumberFormat="1" applyFill="1" applyBorder="1" applyAlignment="1" applyProtection="1">
      <alignment horizontal="center"/>
      <protection hidden="1"/>
    </xf>
    <xf numFmtId="0" fontId="0" fillId="7" borderId="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83" fontId="0" fillId="7" borderId="4" xfId="0" applyNumberFormat="1" applyFill="1" applyBorder="1" applyAlignment="1" applyProtection="1">
      <alignment horizontal="center"/>
      <protection hidden="1"/>
    </xf>
    <xf numFmtId="164" fontId="0" fillId="7" borderId="13" xfId="0" applyNumberForma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10" fontId="4" fillId="0" borderId="57" xfId="0" applyNumberFormat="1" applyFont="1" applyFill="1" applyBorder="1" applyAlignment="1" applyProtection="1">
      <alignment horizontal="right"/>
      <protection locked="0"/>
    </xf>
    <xf numFmtId="0" fontId="0" fillId="0" borderId="49" xfId="0" applyBorder="1" applyAlignment="1">
      <alignment/>
    </xf>
    <xf numFmtId="0" fontId="0" fillId="11" borderId="25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21" xfId="0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172" fontId="0" fillId="3" borderId="58" xfId="0" applyNumberFormat="1" applyFill="1" applyBorder="1" applyAlignment="1" applyProtection="1">
      <alignment horizontal="center"/>
      <protection locked="0"/>
    </xf>
    <xf numFmtId="172" fontId="0" fillId="3" borderId="31" xfId="0" applyNumberFormat="1" applyFill="1" applyBorder="1" applyAlignment="1">
      <alignment horizontal="center"/>
    </xf>
    <xf numFmtId="172" fontId="0" fillId="3" borderId="56" xfId="0" applyNumberForma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3" borderId="17" xfId="0" applyFill="1" applyBorder="1" applyAlignment="1" applyProtection="1">
      <alignment horizontal="center"/>
      <protection locked="0"/>
    </xf>
    <xf numFmtId="164" fontId="0" fillId="3" borderId="15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2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/>
    </xf>
    <xf numFmtId="178" fontId="1" fillId="0" borderId="42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2" fillId="3" borderId="64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color rgb="FFFF0000"/>
      </font>
      <border/>
    </dxf>
    <dxf>
      <font>
        <color auto="1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1266825</xdr:colOff>
      <xdr:row>5</xdr:row>
      <xdr:rowOff>28575</xdr:rowOff>
    </xdr:from>
    <xdr:to>
      <xdr:col>2</xdr:col>
      <xdr:colOff>752475</xdr:colOff>
      <xdr:row>6</xdr:row>
      <xdr:rowOff>95250</xdr:rowOff>
    </xdr:to>
    <xdr:pic>
      <xdr:nvPicPr>
        <xdr:cNvPr id="1" name="Kleingewerb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076325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rkhard@bvenus.de" TargetMode="External" /><Relationship Id="rId2" Type="http://schemas.openxmlformats.org/officeDocument/2006/relationships/hyperlink" Target="https://www.pv-magazine.de/2014/10/29/photovoltaik-eigenverbrauch-umsatzsteuer-richtig-rechnen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W150"/>
  <sheetViews>
    <sheetView showGridLines="0" tabSelected="1" workbookViewId="0" topLeftCell="B18">
      <selection activeCell="I18" sqref="I18"/>
    </sheetView>
  </sheetViews>
  <sheetFormatPr defaultColWidth="11.421875" defaultRowHeight="12.75"/>
  <cols>
    <col min="1" max="1" width="18.140625" style="0" customWidth="1"/>
    <col min="2" max="2" width="22.8515625" style="0" customWidth="1"/>
    <col min="3" max="16384" width="11.57421875" style="0" customWidth="1"/>
  </cols>
  <sheetData>
    <row r="1" spans="3:14" ht="12.75">
      <c r="C1">
        <v>1</v>
      </c>
      <c r="D1">
        <f>C1+1</f>
        <v>2</v>
      </c>
      <c r="E1">
        <f aca="true" t="shared" si="0" ref="E1:N1">D1+1</f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</row>
    <row r="2" spans="3:15" ht="13.5" thickBot="1">
      <c r="C2" s="252" t="s">
        <v>68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3:15" ht="24" thickBot="1">
      <c r="C3" s="303">
        <v>2018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5"/>
    </row>
    <row r="4" spans="2:15" ht="16.5" customHeight="1">
      <c r="B4" s="63" t="s">
        <v>72</v>
      </c>
      <c r="C4" s="66" t="s">
        <v>73</v>
      </c>
      <c r="D4" s="67"/>
      <c r="E4" s="68"/>
      <c r="F4" s="64" t="s">
        <v>189</v>
      </c>
      <c r="G4" s="49"/>
      <c r="H4" s="49"/>
      <c r="I4" s="65"/>
      <c r="J4" s="64" t="s">
        <v>74</v>
      </c>
      <c r="K4" s="49"/>
      <c r="L4" s="49"/>
      <c r="M4" s="49"/>
      <c r="N4" s="49"/>
      <c r="O4" s="65"/>
    </row>
    <row r="5" spans="2:15" ht="15.75" customHeight="1" thickBot="1">
      <c r="B5" s="63"/>
      <c r="C5" s="246" t="s">
        <v>102</v>
      </c>
      <c r="D5" s="247"/>
      <c r="E5" s="248"/>
      <c r="F5" s="249" t="s">
        <v>188</v>
      </c>
      <c r="G5" s="250"/>
      <c r="H5" s="250"/>
      <c r="I5" s="251"/>
      <c r="J5" s="91" t="s">
        <v>75</v>
      </c>
      <c r="K5" s="5"/>
      <c r="L5" s="5"/>
      <c r="M5" s="5"/>
      <c r="N5" s="5"/>
      <c r="O5" s="92"/>
    </row>
    <row r="6" spans="3:15" ht="12.75">
      <c r="C6" t="b">
        <v>0</v>
      </c>
      <c r="D6" s="275" t="s">
        <v>106</v>
      </c>
      <c r="E6" s="254"/>
      <c r="F6" s="36">
        <v>42906</v>
      </c>
      <c r="G6" s="269" t="s">
        <v>107</v>
      </c>
      <c r="H6" s="254"/>
      <c r="I6" s="254"/>
      <c r="J6" s="254"/>
      <c r="K6" s="254"/>
      <c r="L6" s="37">
        <v>21010.09</v>
      </c>
      <c r="M6" s="269" t="s">
        <v>110</v>
      </c>
      <c r="N6" s="270"/>
      <c r="O6" s="38">
        <v>1894</v>
      </c>
    </row>
    <row r="7" spans="3:18" ht="13.5" thickBot="1">
      <c r="C7" s="6"/>
      <c r="D7" s="276"/>
      <c r="E7" s="243"/>
      <c r="F7" s="155"/>
      <c r="G7" s="242"/>
      <c r="H7" s="243"/>
      <c r="I7" s="243"/>
      <c r="J7" s="243"/>
      <c r="K7" s="243"/>
      <c r="L7" s="156"/>
      <c r="M7" s="242"/>
      <c r="N7" s="271"/>
      <c r="O7" s="157"/>
      <c r="P7" s="8"/>
      <c r="Q7" s="8"/>
      <c r="R7" s="8"/>
    </row>
    <row r="8" spans="4:15" ht="12.75">
      <c r="D8" s="12" t="s">
        <v>0</v>
      </c>
      <c r="E8" s="9" t="s">
        <v>1</v>
      </c>
      <c r="F8" s="9" t="s">
        <v>2</v>
      </c>
      <c r="G8" s="9" t="s">
        <v>3</v>
      </c>
      <c r="H8" s="260" t="s">
        <v>4</v>
      </c>
      <c r="I8" s="260"/>
      <c r="J8" s="77" t="s">
        <v>98</v>
      </c>
      <c r="K8" s="13"/>
      <c r="L8" s="93" t="s">
        <v>108</v>
      </c>
      <c r="M8" s="90"/>
      <c r="N8" s="90"/>
      <c r="O8" s="94"/>
    </row>
    <row r="9" spans="2:15" ht="13.5" thickBot="1">
      <c r="B9" s="107"/>
      <c r="D9" s="81">
        <v>0.1599</v>
      </c>
      <c r="E9" s="82">
        <v>0.051</v>
      </c>
      <c r="F9" s="82">
        <v>11.4</v>
      </c>
      <c r="G9" s="83">
        <v>0.19</v>
      </c>
      <c r="H9" s="272">
        <v>0.1227</v>
      </c>
      <c r="I9" s="272"/>
      <c r="J9" s="273">
        <f>7/12</f>
        <v>0.5833333333333334</v>
      </c>
      <c r="K9" s="274"/>
      <c r="L9" s="87" t="s">
        <v>109</v>
      </c>
      <c r="M9" s="88"/>
      <c r="N9" s="88"/>
      <c r="O9" s="89"/>
    </row>
    <row r="10" spans="4:17" ht="12.75">
      <c r="D10" s="261" t="s">
        <v>196</v>
      </c>
      <c r="E10" s="262"/>
      <c r="F10" s="262"/>
      <c r="G10" s="266" t="s">
        <v>183</v>
      </c>
      <c r="H10" s="267"/>
      <c r="I10" s="268"/>
      <c r="J10" s="244" t="s">
        <v>100</v>
      </c>
      <c r="K10" s="245"/>
      <c r="L10" s="86">
        <f>(SUM(J85:J86)+SUM(O40:O41)+O22)/(O14-O26)</f>
        <v>0.2308713411134494</v>
      </c>
      <c r="M10" t="s">
        <v>190</v>
      </c>
      <c r="O10" s="154"/>
      <c r="P10" s="154"/>
      <c r="Q10" s="154"/>
    </row>
    <row r="11" spans="2:16" ht="13.5" thickBot="1">
      <c r="B11" s="107"/>
      <c r="D11" s="263">
        <v>0.2</v>
      </c>
      <c r="E11" s="264"/>
      <c r="F11" s="265"/>
      <c r="G11" s="263">
        <v>0.2</v>
      </c>
      <c r="H11" s="264"/>
      <c r="I11" s="265"/>
      <c r="J11" s="79"/>
      <c r="K11" s="78"/>
      <c r="L11" s="80"/>
      <c r="M11" s="3"/>
      <c r="N11" s="3"/>
      <c r="O11" s="3"/>
      <c r="P11" s="8"/>
    </row>
    <row r="12" spans="3:16" ht="13.5" thickBot="1"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  <c r="L12" t="s">
        <v>14</v>
      </c>
      <c r="M12" t="s">
        <v>15</v>
      </c>
      <c r="N12" t="s">
        <v>16</v>
      </c>
      <c r="O12" t="s">
        <v>30</v>
      </c>
      <c r="P12" t="s">
        <v>41</v>
      </c>
    </row>
    <row r="13" ht="12.75" hidden="1"/>
    <row r="14" spans="2:15" ht="12.75">
      <c r="B14" s="4" t="s">
        <v>111</v>
      </c>
      <c r="C14" s="95">
        <v>107</v>
      </c>
      <c r="D14" s="96">
        <v>445</v>
      </c>
      <c r="E14" s="96">
        <v>549</v>
      </c>
      <c r="F14" s="96">
        <v>710</v>
      </c>
      <c r="G14" s="96">
        <v>1066</v>
      </c>
      <c r="H14" s="96">
        <v>296</v>
      </c>
      <c r="I14" s="96">
        <v>763</v>
      </c>
      <c r="J14" s="96">
        <v>759</v>
      </c>
      <c r="K14" s="96">
        <v>547</v>
      </c>
      <c r="L14" s="96">
        <v>361</v>
      </c>
      <c r="M14" s="96">
        <v>155</v>
      </c>
      <c r="N14" s="97">
        <v>61</v>
      </c>
      <c r="O14" s="194">
        <f>SUM(C14:N14)</f>
        <v>5819</v>
      </c>
    </row>
    <row r="15" spans="2:15" ht="12.75">
      <c r="B15" s="1" t="s">
        <v>17</v>
      </c>
      <c r="C15" s="98">
        <v>685</v>
      </c>
      <c r="D15" s="99">
        <v>568</v>
      </c>
      <c r="E15" s="99">
        <v>615</v>
      </c>
      <c r="F15" s="99">
        <v>534</v>
      </c>
      <c r="G15" s="99">
        <v>565</v>
      </c>
      <c r="H15" s="99">
        <v>187</v>
      </c>
      <c r="I15" s="99">
        <v>406</v>
      </c>
      <c r="J15" s="99">
        <v>387</v>
      </c>
      <c r="K15" s="99">
        <v>430</v>
      </c>
      <c r="L15" s="99">
        <v>493</v>
      </c>
      <c r="M15" s="99">
        <v>704</v>
      </c>
      <c r="N15" s="100">
        <v>718</v>
      </c>
      <c r="O15" s="195">
        <f aca="true" t="shared" si="1" ref="O15:O47">SUM(C15:N15)</f>
        <v>6292</v>
      </c>
    </row>
    <row r="16" spans="2:15" ht="12.75">
      <c r="B16" s="1" t="s">
        <v>18</v>
      </c>
      <c r="C16" s="98">
        <v>6</v>
      </c>
      <c r="D16" s="99">
        <v>104</v>
      </c>
      <c r="E16" s="99">
        <v>141</v>
      </c>
      <c r="F16" s="99">
        <v>161</v>
      </c>
      <c r="G16" s="99">
        <v>429</v>
      </c>
      <c r="H16" s="99">
        <v>107</v>
      </c>
      <c r="I16" s="99">
        <v>335</v>
      </c>
      <c r="J16" s="99">
        <v>361</v>
      </c>
      <c r="K16" s="99">
        <v>211</v>
      </c>
      <c r="L16" s="99">
        <v>102</v>
      </c>
      <c r="M16" s="99">
        <v>19</v>
      </c>
      <c r="N16" s="100">
        <v>2</v>
      </c>
      <c r="O16" s="195">
        <f t="shared" si="1"/>
        <v>1978</v>
      </c>
    </row>
    <row r="17" spans="2:15" ht="12.75">
      <c r="B17" s="1" t="s">
        <v>19</v>
      </c>
      <c r="C17" s="98">
        <v>596</v>
      </c>
      <c r="D17" s="99">
        <v>270</v>
      </c>
      <c r="E17" s="99">
        <v>260</v>
      </c>
      <c r="F17" s="99">
        <v>63</v>
      </c>
      <c r="G17" s="99">
        <v>28</v>
      </c>
      <c r="H17" s="99">
        <v>30</v>
      </c>
      <c r="I17" s="99">
        <v>57</v>
      </c>
      <c r="J17" s="99">
        <v>67</v>
      </c>
      <c r="K17" s="99">
        <v>150</v>
      </c>
      <c r="L17" s="99">
        <v>271</v>
      </c>
      <c r="M17" s="99">
        <v>585</v>
      </c>
      <c r="N17" s="100">
        <v>666</v>
      </c>
      <c r="O17" s="195">
        <f t="shared" si="1"/>
        <v>3043</v>
      </c>
    </row>
    <row r="18" spans="2:23" ht="12.75">
      <c r="B18" s="4" t="s">
        <v>48</v>
      </c>
      <c r="C18" s="34">
        <v>23</v>
      </c>
      <c r="D18" s="33">
        <v>23</v>
      </c>
      <c r="E18" s="33">
        <v>23</v>
      </c>
      <c r="F18" s="33">
        <v>23</v>
      </c>
      <c r="G18" s="33">
        <v>12.61</v>
      </c>
      <c r="H18" s="33">
        <v>12.61</v>
      </c>
      <c r="I18" s="33">
        <v>12.61</v>
      </c>
      <c r="J18" s="33">
        <v>12.61</v>
      </c>
      <c r="K18" s="33">
        <v>12.61</v>
      </c>
      <c r="L18" s="33">
        <v>12.61</v>
      </c>
      <c r="M18" s="33">
        <v>12.61</v>
      </c>
      <c r="N18" s="35">
        <v>12.61</v>
      </c>
      <c r="O18" s="196">
        <f t="shared" si="1"/>
        <v>192.88000000000005</v>
      </c>
      <c r="W18" s="199"/>
    </row>
    <row r="19" spans="2:23" ht="12.75">
      <c r="B19" s="4" t="s">
        <v>66</v>
      </c>
      <c r="C19" s="3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5"/>
      <c r="O19" s="196">
        <f t="shared" si="1"/>
        <v>0</v>
      </c>
      <c r="W19" s="199"/>
    </row>
    <row r="20" spans="2:23" ht="12.75">
      <c r="B20" s="4" t="s">
        <v>197</v>
      </c>
      <c r="C20" s="170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96"/>
      <c r="W20" s="199"/>
    </row>
    <row r="21" spans="2:23" ht="12.75">
      <c r="B21" s="4" t="s">
        <v>187</v>
      </c>
      <c r="C21" s="170"/>
      <c r="D21" s="171"/>
      <c r="E21" s="171"/>
      <c r="F21" s="171"/>
      <c r="G21" s="171"/>
      <c r="H21" s="171">
        <v>530.72</v>
      </c>
      <c r="I21" s="171"/>
      <c r="J21" s="171"/>
      <c r="K21" s="171">
        <v>530.72</v>
      </c>
      <c r="L21" s="171"/>
      <c r="M21" s="171"/>
      <c r="N21" s="172">
        <v>530.72</v>
      </c>
      <c r="O21" s="196">
        <f t="shared" si="1"/>
        <v>1592.16</v>
      </c>
      <c r="W21" s="199"/>
    </row>
    <row r="22" spans="2:23" ht="13.5" thickBot="1">
      <c r="B22" s="4" t="s">
        <v>112</v>
      </c>
      <c r="C22" s="170"/>
      <c r="D22" s="171"/>
      <c r="E22" s="171">
        <v>64.48</v>
      </c>
      <c r="F22" s="171"/>
      <c r="G22" s="171"/>
      <c r="H22" s="171">
        <v>64.48</v>
      </c>
      <c r="I22" s="171"/>
      <c r="J22" s="171"/>
      <c r="K22" s="171">
        <v>62</v>
      </c>
      <c r="L22" s="171"/>
      <c r="M22" s="171"/>
      <c r="N22" s="172">
        <v>60</v>
      </c>
      <c r="O22" s="197">
        <f t="shared" si="1"/>
        <v>250.96</v>
      </c>
      <c r="W22" s="199"/>
    </row>
    <row r="23" spans="2:23" ht="13.5" thickBot="1">
      <c r="B23" s="198" t="s">
        <v>195</v>
      </c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3"/>
      <c r="O23" s="197">
        <f t="shared" si="1"/>
        <v>0</v>
      </c>
      <c r="W23" s="199"/>
    </row>
    <row r="24" spans="2:23" ht="13.5" thickBot="1">
      <c r="B24" s="4" t="s">
        <v>31</v>
      </c>
      <c r="C24" s="101">
        <f>C14-C26-C16</f>
        <v>89</v>
      </c>
      <c r="D24" s="102">
        <f>D14-D26-D16</f>
        <v>298</v>
      </c>
      <c r="E24" s="102">
        <f>E14-E26-E16</f>
        <v>355</v>
      </c>
      <c r="F24" s="102">
        <f>F14-F26-F16</f>
        <v>471</v>
      </c>
      <c r="G24" s="102">
        <f>G14-G26-G16</f>
        <v>537</v>
      </c>
      <c r="H24" s="102">
        <f aca="true" t="shared" si="2" ref="H24:N24">H14-H26-H16</f>
        <v>157</v>
      </c>
      <c r="I24" s="102">
        <f t="shared" si="2"/>
        <v>349</v>
      </c>
      <c r="J24" s="102">
        <f t="shared" si="2"/>
        <v>320</v>
      </c>
      <c r="K24" s="102">
        <f t="shared" si="2"/>
        <v>280</v>
      </c>
      <c r="L24" s="102">
        <f t="shared" si="2"/>
        <v>222</v>
      </c>
      <c r="M24" s="102">
        <f t="shared" si="2"/>
        <v>119</v>
      </c>
      <c r="N24" s="103">
        <f t="shared" si="2"/>
        <v>52</v>
      </c>
      <c r="O24" s="190">
        <f t="shared" si="1"/>
        <v>3249</v>
      </c>
      <c r="P24" t="s">
        <v>62</v>
      </c>
      <c r="W24" s="199"/>
    </row>
    <row r="25" spans="2:23" ht="12.75">
      <c r="B25" s="4" t="s">
        <v>32</v>
      </c>
      <c r="C25" s="24">
        <f>IF(C14&lt;&gt;0,100-100/(C14)*(C14+C17-C15-C16),90)</f>
        <v>88.78504672897196</v>
      </c>
      <c r="D25" s="25">
        <f>IF(D14&lt;&gt;0,100-100/(D14)*(D14+D17-D15-D16),90)</f>
        <v>90.33707865168539</v>
      </c>
      <c r="E25" s="25">
        <f>IF(E14&lt;&gt;0,100-100/(E14)*(E14+E17-E15-E16),90)</f>
        <v>90.34608378870674</v>
      </c>
      <c r="F25" s="25">
        <f>IF(F14&lt;&gt;0,100-100/(F14)*(F14+F17-F15-F16),90)</f>
        <v>89.01408450704226</v>
      </c>
      <c r="G25" s="25">
        <f>IF(G14&lt;&gt;0,100-100/(G14)*(G14+G17-G15-G16),90)</f>
        <v>90.61913696060037</v>
      </c>
      <c r="H25" s="25">
        <f aca="true" t="shared" si="3" ref="H25:N25">IF(H14&lt;&gt;0,100-100/(H14)*(H14+H17-H15-H16),90)</f>
        <v>89.1891891891892</v>
      </c>
      <c r="I25" s="25">
        <f t="shared" si="3"/>
        <v>89.64613368283094</v>
      </c>
      <c r="J25" s="25">
        <f t="shared" si="3"/>
        <v>89.72332015810277</v>
      </c>
      <c r="K25" s="25">
        <f t="shared" si="3"/>
        <v>89.76234003656307</v>
      </c>
      <c r="L25" s="25">
        <f t="shared" si="3"/>
        <v>89.75069252077563</v>
      </c>
      <c r="M25" s="25">
        <f t="shared" si="3"/>
        <v>89.03225806451613</v>
      </c>
      <c r="N25" s="25">
        <f t="shared" si="3"/>
        <v>88.52459016393442</v>
      </c>
      <c r="O25" s="23">
        <f>SUM(C25:N25)/12</f>
        <v>89.56082953774323</v>
      </c>
      <c r="P25" t="s">
        <v>59</v>
      </c>
      <c r="W25" s="199"/>
    </row>
    <row r="26" spans="2:23" ht="13.5" thickBot="1">
      <c r="B26" s="4" t="s">
        <v>61</v>
      </c>
      <c r="C26" s="104">
        <f>C14/100*(100-C25)</f>
        <v>12</v>
      </c>
      <c r="D26" s="105">
        <f>D14/100*(100-D25)</f>
        <v>43.00000000000002</v>
      </c>
      <c r="E26" s="105">
        <f>E14/100*(100-E25)</f>
        <v>53.00000000000002</v>
      </c>
      <c r="F26" s="105">
        <f>F14/100*(100-F25)</f>
        <v>77.99999999999999</v>
      </c>
      <c r="G26" s="105">
        <f>G14/100*(100-G25)</f>
        <v>100.00000000000004</v>
      </c>
      <c r="H26" s="105">
        <f aca="true" t="shared" si="4" ref="H26:N26">H14/100*(100-H25)</f>
        <v>31.99999999999999</v>
      </c>
      <c r="I26" s="105">
        <f t="shared" si="4"/>
        <v>78.99999999999996</v>
      </c>
      <c r="J26" s="105">
        <f t="shared" si="4"/>
        <v>78</v>
      </c>
      <c r="K26" s="105">
        <f t="shared" si="4"/>
        <v>55.99999999999998</v>
      </c>
      <c r="L26" s="105">
        <f t="shared" si="4"/>
        <v>36.99999999999998</v>
      </c>
      <c r="M26" s="105">
        <f t="shared" si="4"/>
        <v>17.000000000000004</v>
      </c>
      <c r="N26" s="105">
        <f t="shared" si="4"/>
        <v>7.0000000000000036</v>
      </c>
      <c r="O26" s="106">
        <f>SUM(C26:N26)</f>
        <v>592</v>
      </c>
      <c r="P26" t="s">
        <v>58</v>
      </c>
      <c r="W26" s="199"/>
    </row>
    <row r="27" spans="2:23" ht="12.75">
      <c r="B27" s="4"/>
      <c r="C27" s="257" t="s">
        <v>60</v>
      </c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9"/>
      <c r="O27" s="8"/>
      <c r="W27" s="199"/>
    </row>
    <row r="28" spans="2:23" ht="12.75">
      <c r="B28" s="1" t="s">
        <v>0</v>
      </c>
      <c r="C28" s="26">
        <f>D9</f>
        <v>0.1599</v>
      </c>
      <c r="D28" s="27">
        <f>C28</f>
        <v>0.1599</v>
      </c>
      <c r="E28" s="27">
        <f aca="true" t="shared" si="5" ref="E28:N28">D28</f>
        <v>0.1599</v>
      </c>
      <c r="F28" s="27">
        <f t="shared" si="5"/>
        <v>0.1599</v>
      </c>
      <c r="G28" s="27">
        <f t="shared" si="5"/>
        <v>0.1599</v>
      </c>
      <c r="H28" s="27">
        <f t="shared" si="5"/>
        <v>0.1599</v>
      </c>
      <c r="I28" s="27">
        <f t="shared" si="5"/>
        <v>0.1599</v>
      </c>
      <c r="J28" s="27">
        <f t="shared" si="5"/>
        <v>0.1599</v>
      </c>
      <c r="K28" s="27">
        <f t="shared" si="5"/>
        <v>0.1599</v>
      </c>
      <c r="L28" s="27">
        <f t="shared" si="5"/>
        <v>0.1599</v>
      </c>
      <c r="M28" s="27">
        <f t="shared" si="5"/>
        <v>0.1599</v>
      </c>
      <c r="N28" s="28">
        <f t="shared" si="5"/>
        <v>0.1599</v>
      </c>
      <c r="O28" s="2"/>
      <c r="W28" s="199"/>
    </row>
    <row r="29" spans="2:23" ht="12.75">
      <c r="B29" s="1" t="s">
        <v>1</v>
      </c>
      <c r="C29" s="26">
        <f>E9</f>
        <v>0.051</v>
      </c>
      <c r="D29" s="27">
        <f>C29</f>
        <v>0.051</v>
      </c>
      <c r="E29" s="27">
        <f aca="true" t="shared" si="6" ref="E29:N30">D29</f>
        <v>0.051</v>
      </c>
      <c r="F29" s="27">
        <f t="shared" si="6"/>
        <v>0.051</v>
      </c>
      <c r="G29" s="27">
        <f t="shared" si="6"/>
        <v>0.051</v>
      </c>
      <c r="H29" s="27">
        <f t="shared" si="6"/>
        <v>0.051</v>
      </c>
      <c r="I29" s="27">
        <f t="shared" si="6"/>
        <v>0.051</v>
      </c>
      <c r="J29" s="27">
        <f t="shared" si="6"/>
        <v>0.051</v>
      </c>
      <c r="K29" s="27">
        <f t="shared" si="6"/>
        <v>0.051</v>
      </c>
      <c r="L29" s="27">
        <f t="shared" si="6"/>
        <v>0.051</v>
      </c>
      <c r="M29" s="27">
        <f t="shared" si="6"/>
        <v>0.051</v>
      </c>
      <c r="N29" s="28">
        <f t="shared" si="6"/>
        <v>0.051</v>
      </c>
      <c r="O29" s="2"/>
      <c r="W29" s="199"/>
    </row>
    <row r="30" spans="2:23" ht="12.75">
      <c r="B30" s="1" t="s">
        <v>2</v>
      </c>
      <c r="C30" s="26">
        <f>F9</f>
        <v>11.4</v>
      </c>
      <c r="D30" s="27">
        <v>11.4</v>
      </c>
      <c r="E30" s="27">
        <f t="shared" si="6"/>
        <v>11.4</v>
      </c>
      <c r="F30" s="27">
        <f t="shared" si="6"/>
        <v>11.4</v>
      </c>
      <c r="G30" s="27">
        <f t="shared" si="6"/>
        <v>11.4</v>
      </c>
      <c r="H30" s="27">
        <f t="shared" si="6"/>
        <v>11.4</v>
      </c>
      <c r="I30" s="27">
        <f t="shared" si="6"/>
        <v>11.4</v>
      </c>
      <c r="J30" s="27">
        <f t="shared" si="6"/>
        <v>11.4</v>
      </c>
      <c r="K30" s="27">
        <f t="shared" si="6"/>
        <v>11.4</v>
      </c>
      <c r="L30" s="27">
        <f t="shared" si="6"/>
        <v>11.4</v>
      </c>
      <c r="M30" s="27">
        <f t="shared" si="6"/>
        <v>11.4</v>
      </c>
      <c r="N30" s="28">
        <f t="shared" si="6"/>
        <v>11.4</v>
      </c>
      <c r="O30" s="2"/>
      <c r="W30" s="199"/>
    </row>
    <row r="31" spans="2:23" ht="12.75">
      <c r="B31" s="4" t="s">
        <v>97</v>
      </c>
      <c r="C31" s="39">
        <v>0</v>
      </c>
      <c r="D31" s="40">
        <f>C31</f>
        <v>0</v>
      </c>
      <c r="E31" s="40">
        <f aca="true" t="shared" si="7" ref="E31:N31">D31</f>
        <v>0</v>
      </c>
      <c r="F31" s="40">
        <f t="shared" si="7"/>
        <v>0</v>
      </c>
      <c r="G31" s="40">
        <f t="shared" si="7"/>
        <v>0</v>
      </c>
      <c r="H31" s="40">
        <f t="shared" si="7"/>
        <v>0</v>
      </c>
      <c r="I31" s="40">
        <f t="shared" si="7"/>
        <v>0</v>
      </c>
      <c r="J31" s="40">
        <f t="shared" si="7"/>
        <v>0</v>
      </c>
      <c r="K31" s="40">
        <f t="shared" si="7"/>
        <v>0</v>
      </c>
      <c r="L31" s="40">
        <f t="shared" si="7"/>
        <v>0</v>
      </c>
      <c r="M31" s="40">
        <f t="shared" si="7"/>
        <v>0</v>
      </c>
      <c r="N31" s="40">
        <f t="shared" si="7"/>
        <v>0</v>
      </c>
      <c r="O31" s="2"/>
      <c r="W31" s="199"/>
    </row>
    <row r="32" spans="2:23" ht="13.5" thickBot="1">
      <c r="B32" s="1" t="s">
        <v>4</v>
      </c>
      <c r="C32" s="29">
        <f>H9</f>
        <v>0.1227</v>
      </c>
      <c r="D32" s="30">
        <f aca="true" t="shared" si="8" ref="D32:N32">C32</f>
        <v>0.1227</v>
      </c>
      <c r="E32" s="30">
        <f t="shared" si="8"/>
        <v>0.1227</v>
      </c>
      <c r="F32" s="30">
        <f t="shared" si="8"/>
        <v>0.1227</v>
      </c>
      <c r="G32" s="30">
        <f t="shared" si="8"/>
        <v>0.1227</v>
      </c>
      <c r="H32" s="30">
        <f t="shared" si="8"/>
        <v>0.1227</v>
      </c>
      <c r="I32" s="30">
        <f t="shared" si="8"/>
        <v>0.1227</v>
      </c>
      <c r="J32" s="30">
        <f t="shared" si="8"/>
        <v>0.1227</v>
      </c>
      <c r="K32" s="30">
        <f t="shared" si="8"/>
        <v>0.1227</v>
      </c>
      <c r="L32" s="30">
        <f t="shared" si="8"/>
        <v>0.1227</v>
      </c>
      <c r="M32" s="30">
        <f t="shared" si="8"/>
        <v>0.1227</v>
      </c>
      <c r="N32" s="31">
        <f t="shared" si="8"/>
        <v>0.1227</v>
      </c>
      <c r="O32" s="2"/>
      <c r="Q32" s="206"/>
      <c r="W32" s="199"/>
    </row>
    <row r="33" spans="2:23" ht="13.5" thickBot="1">
      <c r="B33" s="1"/>
      <c r="O33" s="2"/>
      <c r="W33" s="199"/>
    </row>
    <row r="34" spans="2:23" ht="12.75">
      <c r="B34" s="1" t="s">
        <v>20</v>
      </c>
      <c r="C34" s="42">
        <f aca="true" t="shared" si="9" ref="C34:N34">(C$17*(C$28+C$29)+C$30)*1.19</f>
        <v>163.144716</v>
      </c>
      <c r="D34" s="17">
        <f t="shared" si="9"/>
        <v>81.32816999999999</v>
      </c>
      <c r="E34" s="17">
        <f t="shared" si="9"/>
        <v>78.81845999999999</v>
      </c>
      <c r="F34" s="17">
        <f t="shared" si="9"/>
        <v>29.377172999999996</v>
      </c>
      <c r="G34" s="17">
        <f t="shared" si="9"/>
        <v>20.593187999999998</v>
      </c>
      <c r="H34" s="17">
        <f t="shared" si="9"/>
        <v>21.09513</v>
      </c>
      <c r="I34" s="17">
        <f t="shared" si="9"/>
        <v>27.871346999999997</v>
      </c>
      <c r="J34" s="17">
        <f t="shared" si="9"/>
        <v>30.381056999999995</v>
      </c>
      <c r="K34" s="17">
        <f t="shared" si="9"/>
        <v>51.21164999999999</v>
      </c>
      <c r="L34" s="17">
        <f t="shared" si="9"/>
        <v>81.57914099999999</v>
      </c>
      <c r="M34" s="17">
        <f t="shared" si="9"/>
        <v>160.38403499999998</v>
      </c>
      <c r="N34" s="18">
        <f t="shared" si="9"/>
        <v>180.712686</v>
      </c>
      <c r="O34" s="45">
        <f t="shared" si="1"/>
        <v>926.496753</v>
      </c>
      <c r="P34" t="s">
        <v>40</v>
      </c>
      <c r="W34" s="199"/>
    </row>
    <row r="35" spans="2:23" ht="12.75">
      <c r="B35" s="201" t="s">
        <v>26</v>
      </c>
      <c r="C35" s="203">
        <f aca="true" t="shared" si="10" ref="C35:N35">C16*C32</f>
        <v>0.7362</v>
      </c>
      <c r="D35" s="74">
        <f t="shared" si="10"/>
        <v>12.7608</v>
      </c>
      <c r="E35" s="74">
        <f t="shared" si="10"/>
        <v>17.3007</v>
      </c>
      <c r="F35" s="74">
        <f t="shared" si="10"/>
        <v>19.7547</v>
      </c>
      <c r="G35" s="74">
        <f t="shared" si="10"/>
        <v>52.6383</v>
      </c>
      <c r="H35" s="74">
        <f t="shared" si="10"/>
        <v>13.1289</v>
      </c>
      <c r="I35" s="74">
        <f t="shared" si="10"/>
        <v>41.1045</v>
      </c>
      <c r="J35" s="74">
        <f t="shared" si="10"/>
        <v>44.2947</v>
      </c>
      <c r="K35" s="74">
        <f t="shared" si="10"/>
        <v>25.8897</v>
      </c>
      <c r="L35" s="74">
        <f t="shared" si="10"/>
        <v>12.5154</v>
      </c>
      <c r="M35" s="74">
        <f t="shared" si="10"/>
        <v>2.3313</v>
      </c>
      <c r="N35" s="75">
        <f t="shared" si="10"/>
        <v>0.2454</v>
      </c>
      <c r="O35" s="76">
        <f t="shared" si="1"/>
        <v>242.7006</v>
      </c>
      <c r="P35" t="s">
        <v>33</v>
      </c>
      <c r="W35" s="199"/>
    </row>
    <row r="36" spans="2:23" ht="12.75">
      <c r="B36" s="202" t="s">
        <v>22</v>
      </c>
      <c r="C36" s="203">
        <f>C35*0.19</f>
        <v>0.139878</v>
      </c>
      <c r="D36" s="74">
        <f>D35*0.19</f>
        <v>2.424552</v>
      </c>
      <c r="E36" s="74">
        <f>E35*0.19</f>
        <v>3.287133</v>
      </c>
      <c r="F36" s="74">
        <f>F35*0.19</f>
        <v>3.753393</v>
      </c>
      <c r="G36" s="117">
        <f>G35*0.19</f>
        <v>10.001277</v>
      </c>
      <c r="H36" s="74">
        <f aca="true" t="shared" si="11" ref="H36:N36">H35*0.19</f>
        <v>2.494491</v>
      </c>
      <c r="I36" s="74">
        <f t="shared" si="11"/>
        <v>7.809855000000001</v>
      </c>
      <c r="J36" s="74">
        <f t="shared" si="11"/>
        <v>8.415993</v>
      </c>
      <c r="K36" s="74">
        <f t="shared" si="11"/>
        <v>4.919043</v>
      </c>
      <c r="L36" s="74">
        <f t="shared" si="11"/>
        <v>2.377926</v>
      </c>
      <c r="M36" s="74">
        <f t="shared" si="11"/>
        <v>0.44294700000000004</v>
      </c>
      <c r="N36" s="75">
        <f t="shared" si="11"/>
        <v>0.046626</v>
      </c>
      <c r="O36" s="76">
        <f t="shared" si="1"/>
        <v>46.113114</v>
      </c>
      <c r="P36" t="s">
        <v>34</v>
      </c>
      <c r="W36" s="199"/>
    </row>
    <row r="37" spans="2:23" ht="12.75">
      <c r="B37" s="201" t="s">
        <v>27</v>
      </c>
      <c r="C37" s="43">
        <f>C24*IF($L10&lt;$D11,$L10,$D11)</f>
        <v>17.8</v>
      </c>
      <c r="D37" s="7">
        <f>D24*IF($L10&lt;$D11,$L10,$D11)</f>
        <v>59.6</v>
      </c>
      <c r="E37" s="7">
        <f>E24*IF($L10&lt;$D11,$L10,$D11)</f>
        <v>71</v>
      </c>
      <c r="F37" s="7">
        <f>F24*IF($L10&lt;$D11,$L10,$D11)</f>
        <v>94.2</v>
      </c>
      <c r="G37" s="7">
        <f aca="true" t="shared" si="12" ref="G37:N37">G24*IF($L10&lt;$D11,$L10,$D11)</f>
        <v>107.4</v>
      </c>
      <c r="H37" s="7">
        <f t="shared" si="12"/>
        <v>31.400000000000002</v>
      </c>
      <c r="I37" s="7">
        <f t="shared" si="12"/>
        <v>69.8</v>
      </c>
      <c r="J37" s="7">
        <f t="shared" si="12"/>
        <v>64</v>
      </c>
      <c r="K37" s="7">
        <f t="shared" si="12"/>
        <v>56</v>
      </c>
      <c r="L37" s="7">
        <f t="shared" si="12"/>
        <v>44.400000000000006</v>
      </c>
      <c r="M37" s="7">
        <f t="shared" si="12"/>
        <v>23.8</v>
      </c>
      <c r="N37" s="47">
        <f t="shared" si="12"/>
        <v>10.4</v>
      </c>
      <c r="O37" s="46">
        <f t="shared" si="1"/>
        <v>649.8</v>
      </c>
      <c r="P37" t="s">
        <v>101</v>
      </c>
      <c r="W37" s="199"/>
    </row>
    <row r="38" spans="2:23" ht="12.75">
      <c r="B38" s="202" t="s">
        <v>23</v>
      </c>
      <c r="C38" s="43">
        <f>C37*0.19</f>
        <v>3.382</v>
      </c>
      <c r="D38" s="7">
        <f>D37*0.19</f>
        <v>11.324</v>
      </c>
      <c r="E38" s="7">
        <f>E37*0.19</f>
        <v>13.49</v>
      </c>
      <c r="F38" s="7">
        <f>F37*0.19</f>
        <v>17.898</v>
      </c>
      <c r="G38" s="7">
        <f>G37*0.19</f>
        <v>20.406000000000002</v>
      </c>
      <c r="H38" s="7">
        <f aca="true" t="shared" si="13" ref="H38:N38">H37*0.19</f>
        <v>5.966</v>
      </c>
      <c r="I38" s="7">
        <f t="shared" si="13"/>
        <v>13.262</v>
      </c>
      <c r="J38" s="7">
        <f t="shared" si="13"/>
        <v>12.16</v>
      </c>
      <c r="K38" s="7">
        <f t="shared" si="13"/>
        <v>10.64</v>
      </c>
      <c r="L38" s="7">
        <f t="shared" si="13"/>
        <v>8.436000000000002</v>
      </c>
      <c r="M38" s="7">
        <f t="shared" si="13"/>
        <v>4.522</v>
      </c>
      <c r="N38" s="47">
        <f t="shared" si="13"/>
        <v>1.9760000000000002</v>
      </c>
      <c r="O38" s="46">
        <f t="shared" si="1"/>
        <v>123.462</v>
      </c>
      <c r="P38" t="s">
        <v>36</v>
      </c>
      <c r="W38" s="199"/>
    </row>
    <row r="39" spans="2:23" ht="12.75">
      <c r="B39" s="3" t="s">
        <v>28</v>
      </c>
      <c r="C39" s="43">
        <f>C35+C37</f>
        <v>18.5362</v>
      </c>
      <c r="D39" s="7">
        <f>D35+D37</f>
        <v>72.3608</v>
      </c>
      <c r="E39" s="7">
        <f>E35+E37</f>
        <v>88.3007</v>
      </c>
      <c r="F39" s="7">
        <f>F35+F37</f>
        <v>113.9547</v>
      </c>
      <c r="G39" s="7">
        <f>G35+G37</f>
        <v>160.0383</v>
      </c>
      <c r="H39" s="7">
        <f aca="true" t="shared" si="14" ref="H39:N39">H35+H37</f>
        <v>44.5289</v>
      </c>
      <c r="I39" s="7">
        <f t="shared" si="14"/>
        <v>110.9045</v>
      </c>
      <c r="J39" s="7">
        <f t="shared" si="14"/>
        <v>108.2947</v>
      </c>
      <c r="K39" s="7">
        <f t="shared" si="14"/>
        <v>81.8897</v>
      </c>
      <c r="L39" s="7">
        <f t="shared" si="14"/>
        <v>56.915400000000005</v>
      </c>
      <c r="M39" s="7">
        <f t="shared" si="14"/>
        <v>26.1313</v>
      </c>
      <c r="N39" s="47">
        <f t="shared" si="14"/>
        <v>10.6454</v>
      </c>
      <c r="O39" s="46">
        <f t="shared" si="1"/>
        <v>892.5006000000001</v>
      </c>
      <c r="P39" t="s">
        <v>35</v>
      </c>
      <c r="W39" s="199"/>
    </row>
    <row r="40" spans="2:23" ht="12.75">
      <c r="B40" s="3" t="s">
        <v>123</v>
      </c>
      <c r="C40" s="44">
        <f>IF(C14&lt;&gt;0,C31+C19,0)</f>
        <v>0</v>
      </c>
      <c r="D40" s="41">
        <f>IF(D14&lt;&gt;0,D31+D19,0)</f>
        <v>0</v>
      </c>
      <c r="E40" s="41">
        <f>IF(E14&lt;&gt;0,E31+E19,0)</f>
        <v>0</v>
      </c>
      <c r="F40" s="41">
        <f>IF(F14&lt;&gt;0,F31+F19,0)</f>
        <v>0</v>
      </c>
      <c r="G40" s="41">
        <f>IF(G14&lt;&gt;0,G31+G19,0)</f>
        <v>0</v>
      </c>
      <c r="H40" s="41">
        <f aca="true" t="shared" si="15" ref="H40:N40">IF(H14&lt;&gt;0,H31+H19,0)</f>
        <v>0</v>
      </c>
      <c r="I40" s="41">
        <f t="shared" si="15"/>
        <v>0</v>
      </c>
      <c r="J40" s="41">
        <f t="shared" si="15"/>
        <v>0</v>
      </c>
      <c r="K40" s="41">
        <f t="shared" si="15"/>
        <v>0</v>
      </c>
      <c r="L40" s="41">
        <f t="shared" si="15"/>
        <v>0</v>
      </c>
      <c r="M40" s="41">
        <f t="shared" si="15"/>
        <v>0</v>
      </c>
      <c r="N40" s="48">
        <f t="shared" si="15"/>
        <v>0</v>
      </c>
      <c r="O40" s="46">
        <f t="shared" si="1"/>
        <v>0</v>
      </c>
      <c r="P40" t="s">
        <v>90</v>
      </c>
      <c r="T40" t="s">
        <v>91</v>
      </c>
      <c r="W40" s="199"/>
    </row>
    <row r="41" spans="2:23" ht="13.5" thickBot="1">
      <c r="B41" s="3" t="s">
        <v>124</v>
      </c>
      <c r="C41" s="70">
        <f>C20</f>
        <v>0</v>
      </c>
      <c r="D41" s="71">
        <f aca="true" t="shared" si="16" ref="D41:N41">D20</f>
        <v>0</v>
      </c>
      <c r="E41" s="71">
        <f t="shared" si="16"/>
        <v>0</v>
      </c>
      <c r="F41" s="71">
        <f t="shared" si="16"/>
        <v>0</v>
      </c>
      <c r="G41" s="71">
        <f t="shared" si="16"/>
        <v>0</v>
      </c>
      <c r="H41" s="71">
        <f t="shared" si="16"/>
        <v>0</v>
      </c>
      <c r="I41" s="71">
        <f t="shared" si="16"/>
        <v>0</v>
      </c>
      <c r="J41" s="71">
        <f t="shared" si="16"/>
        <v>0</v>
      </c>
      <c r="K41" s="71">
        <f t="shared" si="16"/>
        <v>0</v>
      </c>
      <c r="L41" s="71">
        <f t="shared" si="16"/>
        <v>0</v>
      </c>
      <c r="M41" s="71">
        <f t="shared" si="16"/>
        <v>0</v>
      </c>
      <c r="N41" s="204">
        <f t="shared" si="16"/>
        <v>0</v>
      </c>
      <c r="O41" s="205">
        <f t="shared" si="1"/>
        <v>0</v>
      </c>
      <c r="P41" s="72">
        <v>0.19</v>
      </c>
      <c r="W41" s="199"/>
    </row>
    <row r="42" spans="2:23" ht="12.75">
      <c r="B42" s="3" t="s">
        <v>24</v>
      </c>
      <c r="C42" s="166">
        <f aca="true" t="shared" si="17" ref="C42:H42">C34-C35+IF($C$6=FALSE,C36+C38,0)+C40+C22+C21</f>
        <v>165.93039399999998</v>
      </c>
      <c r="D42" s="167">
        <f t="shared" si="17"/>
        <v>82.31592199999999</v>
      </c>
      <c r="E42" s="167">
        <f t="shared" si="17"/>
        <v>142.774893</v>
      </c>
      <c r="F42" s="167">
        <f t="shared" si="17"/>
        <v>31.273865999999995</v>
      </c>
      <c r="G42" s="167">
        <f t="shared" si="17"/>
        <v>-1.6378350000000026</v>
      </c>
      <c r="H42" s="167">
        <f t="shared" si="17"/>
        <v>611.6267210000001</v>
      </c>
      <c r="I42" s="167">
        <f aca="true" t="shared" si="18" ref="I42:N42">I34-I35+IF($C$6=FALSE,I36+I38,0)+I40+I22+I21</f>
        <v>7.838701999999994</v>
      </c>
      <c r="J42" s="167">
        <f t="shared" si="18"/>
        <v>6.662349999999996</v>
      </c>
      <c r="K42" s="167">
        <f t="shared" si="18"/>
        <v>633.600993</v>
      </c>
      <c r="L42" s="167">
        <f t="shared" si="18"/>
        <v>79.877667</v>
      </c>
      <c r="M42" s="167">
        <f t="shared" si="18"/>
        <v>163.01768199999998</v>
      </c>
      <c r="N42" s="167">
        <f t="shared" si="18"/>
        <v>773.209912</v>
      </c>
      <c r="O42" s="168">
        <f t="shared" si="1"/>
        <v>2696.4912670000003</v>
      </c>
      <c r="P42" t="s">
        <v>37</v>
      </c>
      <c r="W42" s="199"/>
    </row>
    <row r="43" spans="2:23" ht="12.75">
      <c r="B43" s="3" t="s">
        <v>25</v>
      </c>
      <c r="C43" s="169">
        <f aca="true" t="shared" si="19" ref="C43:N43">(C30+(C15*(C28+C29)))*1.19</f>
        <v>185.481135</v>
      </c>
      <c r="D43" s="161">
        <f t="shared" si="19"/>
        <v>156.11752799999996</v>
      </c>
      <c r="E43" s="161">
        <f t="shared" si="19"/>
        <v>167.913165</v>
      </c>
      <c r="F43" s="161">
        <f t="shared" si="19"/>
        <v>147.58451399999998</v>
      </c>
      <c r="G43" s="161">
        <f t="shared" si="19"/>
        <v>155.36461499999996</v>
      </c>
      <c r="H43" s="161">
        <f t="shared" si="19"/>
        <v>60.49757699999999</v>
      </c>
      <c r="I43" s="161">
        <f t="shared" si="19"/>
        <v>115.46022599999998</v>
      </c>
      <c r="J43" s="161">
        <f t="shared" si="19"/>
        <v>110.69177699999999</v>
      </c>
      <c r="K43" s="161">
        <f t="shared" si="19"/>
        <v>121.48352999999999</v>
      </c>
      <c r="L43" s="161">
        <f t="shared" si="19"/>
        <v>137.294703</v>
      </c>
      <c r="M43" s="161">
        <f t="shared" si="19"/>
        <v>190.24958399999997</v>
      </c>
      <c r="N43" s="161">
        <f t="shared" si="19"/>
        <v>193.76317799999998</v>
      </c>
      <c r="O43" s="165">
        <f t="shared" si="1"/>
        <v>1741.9015319999996</v>
      </c>
      <c r="P43" t="s">
        <v>38</v>
      </c>
      <c r="W43" s="200"/>
    </row>
    <row r="44" spans="2:23" ht="13.5" thickBot="1">
      <c r="B44" s="3" t="s">
        <v>21</v>
      </c>
      <c r="C44" s="158">
        <f aca="true" t="shared" si="20" ref="C44:N44">C43-C42</f>
        <v>19.550741000000016</v>
      </c>
      <c r="D44" s="159">
        <f t="shared" si="20"/>
        <v>73.80160599999998</v>
      </c>
      <c r="E44" s="159">
        <f t="shared" si="20"/>
        <v>25.138272</v>
      </c>
      <c r="F44" s="159">
        <f t="shared" si="20"/>
        <v>116.31064799999999</v>
      </c>
      <c r="G44" s="159">
        <f t="shared" si="20"/>
        <v>157.00244999999995</v>
      </c>
      <c r="H44" s="159">
        <f t="shared" si="20"/>
        <v>-551.1291440000001</v>
      </c>
      <c r="I44" s="159">
        <f t="shared" si="20"/>
        <v>107.62152399999998</v>
      </c>
      <c r="J44" s="159">
        <f t="shared" si="20"/>
        <v>104.029427</v>
      </c>
      <c r="K44" s="159">
        <f t="shared" si="20"/>
        <v>-512.117463</v>
      </c>
      <c r="L44" s="159">
        <f t="shared" si="20"/>
        <v>57.417035999999996</v>
      </c>
      <c r="M44" s="159">
        <f t="shared" si="20"/>
        <v>27.23190199999999</v>
      </c>
      <c r="N44" s="159">
        <f t="shared" si="20"/>
        <v>-579.4467340000001</v>
      </c>
      <c r="O44" s="160">
        <f t="shared" si="1"/>
        <v>-954.5897350000004</v>
      </c>
      <c r="P44" t="s">
        <v>39</v>
      </c>
      <c r="W44" s="200"/>
    </row>
    <row r="45" spans="2:23" ht="12.75">
      <c r="B45" s="3" t="s">
        <v>186</v>
      </c>
      <c r="C45" s="162">
        <f aca="true" t="shared" si="21" ref="C45:H45">IF(YEAR($F$6)=$C$3,IF(MONTH($F$6)&lt;=C1,($E$86)/(12-MONTH($F$6)+1),0),($E$86/12))</f>
        <v>117.74890116666666</v>
      </c>
      <c r="D45" s="163">
        <f t="shared" si="21"/>
        <v>117.74890116666666</v>
      </c>
      <c r="E45" s="163">
        <f t="shared" si="21"/>
        <v>117.74890116666666</v>
      </c>
      <c r="F45" s="163">
        <f t="shared" si="21"/>
        <v>117.74890116666666</v>
      </c>
      <c r="G45" s="163">
        <f t="shared" si="21"/>
        <v>117.74890116666666</v>
      </c>
      <c r="H45" s="163">
        <f t="shared" si="21"/>
        <v>117.74890116666666</v>
      </c>
      <c r="I45" s="163">
        <f aca="true" t="shared" si="22" ref="I45:N45">IF(YEAR($F$6)=$C$3,IF(MONTH($F$6)&lt;=I1,($E$86)/(12-MONTH($F$6)+1),0),($E$86/12))</f>
        <v>117.74890116666666</v>
      </c>
      <c r="J45" s="163">
        <f t="shared" si="22"/>
        <v>117.74890116666666</v>
      </c>
      <c r="K45" s="163">
        <f t="shared" si="22"/>
        <v>117.74890116666666</v>
      </c>
      <c r="L45" s="163">
        <f t="shared" si="22"/>
        <v>117.74890116666666</v>
      </c>
      <c r="M45" s="163">
        <f t="shared" si="22"/>
        <v>117.74890116666666</v>
      </c>
      <c r="N45" s="163">
        <f t="shared" si="22"/>
        <v>117.74890116666666</v>
      </c>
      <c r="O45" s="164">
        <f t="shared" si="1"/>
        <v>1412.9868139999999</v>
      </c>
      <c r="W45" s="200"/>
    </row>
    <row r="46" spans="2:23" ht="12.75">
      <c r="B46" s="3" t="s">
        <v>182</v>
      </c>
      <c r="C46" s="43">
        <f aca="true" t="shared" si="23" ref="C46:H46">C18+C35+C36+C37</f>
        <v>41.676078000000004</v>
      </c>
      <c r="D46" s="7">
        <f t="shared" si="23"/>
        <v>97.785352</v>
      </c>
      <c r="E46" s="7">
        <f t="shared" si="23"/>
        <v>114.58783299999999</v>
      </c>
      <c r="F46" s="7">
        <f t="shared" si="23"/>
        <v>140.70809300000002</v>
      </c>
      <c r="G46" s="7">
        <f t="shared" si="23"/>
        <v>182.64957700000002</v>
      </c>
      <c r="H46" s="7">
        <f t="shared" si="23"/>
        <v>59.633391</v>
      </c>
      <c r="I46" s="7">
        <f aca="true" t="shared" si="24" ref="I46:N46">I18+I35+I36+I37</f>
        <v>131.324355</v>
      </c>
      <c r="J46" s="7">
        <f t="shared" si="24"/>
        <v>129.320693</v>
      </c>
      <c r="K46" s="7">
        <f t="shared" si="24"/>
        <v>99.418743</v>
      </c>
      <c r="L46" s="7">
        <f t="shared" si="24"/>
        <v>71.903326</v>
      </c>
      <c r="M46" s="7">
        <f t="shared" si="24"/>
        <v>39.184247</v>
      </c>
      <c r="N46" s="7">
        <f t="shared" si="24"/>
        <v>23.302025999999998</v>
      </c>
      <c r="O46" s="165">
        <f t="shared" si="1"/>
        <v>1131.493714</v>
      </c>
      <c r="W46" s="199"/>
    </row>
    <row r="47" spans="2:23" ht="13.5" thickBot="1">
      <c r="B47" s="3" t="s">
        <v>185</v>
      </c>
      <c r="C47" s="70">
        <f aca="true" t="shared" si="25" ref="C47:N47">IF(C14&lt;&gt;"",C46-C45,"")</f>
        <v>-76.07282316666665</v>
      </c>
      <c r="D47" s="71">
        <f t="shared" si="25"/>
        <v>-19.963549166666652</v>
      </c>
      <c r="E47" s="71">
        <f t="shared" si="25"/>
        <v>-3.1610681666666665</v>
      </c>
      <c r="F47" s="71">
        <f t="shared" si="25"/>
        <v>22.959191833333364</v>
      </c>
      <c r="G47" s="71">
        <f t="shared" si="25"/>
        <v>64.90067583333337</v>
      </c>
      <c r="H47" s="71">
        <f t="shared" si="25"/>
        <v>-58.11551016666665</v>
      </c>
      <c r="I47" s="71">
        <f t="shared" si="25"/>
        <v>13.575453833333341</v>
      </c>
      <c r="J47" s="71">
        <f t="shared" si="25"/>
        <v>11.57179183333335</v>
      </c>
      <c r="K47" s="71">
        <f t="shared" si="25"/>
        <v>-18.33015816666665</v>
      </c>
      <c r="L47" s="71">
        <f t="shared" si="25"/>
        <v>-45.84557516666665</v>
      </c>
      <c r="M47" s="71">
        <f t="shared" si="25"/>
        <v>-78.56465416666666</v>
      </c>
      <c r="N47" s="71">
        <f t="shared" si="25"/>
        <v>-94.44687516666666</v>
      </c>
      <c r="O47" s="22">
        <f t="shared" si="1"/>
        <v>-281.4930999999998</v>
      </c>
      <c r="W47" s="199"/>
    </row>
    <row r="48" spans="4:23" ht="13.5" thickBot="1">
      <c r="D48" s="4" t="s">
        <v>122</v>
      </c>
      <c r="E48" s="109">
        <f>C3-YEAR(F6)+1</f>
        <v>2</v>
      </c>
      <c r="F48" t="str">
        <f>IF(C6=FALSE,"Regelbest.","Kleingewerbe")</f>
        <v>Regelbest.</v>
      </c>
      <c r="G48" t="str">
        <f>IF(C6=TRUE,"Regelbest.","Kleingewerbe")</f>
        <v>Kleingewerbe</v>
      </c>
      <c r="W48" s="199"/>
    </row>
    <row r="49" spans="3:23" ht="12.75">
      <c r="C49" s="277" t="s">
        <v>125</v>
      </c>
      <c r="D49" s="278"/>
      <c r="E49" s="279"/>
      <c r="F49" s="118">
        <v>245.74</v>
      </c>
      <c r="G49" s="121">
        <f>F49</f>
        <v>245.74</v>
      </c>
      <c r="W49" s="199"/>
    </row>
    <row r="50" spans="3:23" ht="12.75">
      <c r="C50" s="280" t="s">
        <v>29</v>
      </c>
      <c r="D50" s="281"/>
      <c r="E50" s="282"/>
      <c r="F50" s="119">
        <f>O44</f>
        <v>-954.5897350000004</v>
      </c>
      <c r="G50" s="122">
        <f>((O34-O35+O40+O22+IF(C6=TRUE,(O36+O38-O41),0))-O43)*-1</f>
        <v>807.1453789999996</v>
      </c>
      <c r="W50" s="51"/>
    </row>
    <row r="51" spans="3:7" ht="13.5" thickBot="1">
      <c r="C51" s="283" t="s">
        <v>65</v>
      </c>
      <c r="D51" s="284"/>
      <c r="E51" s="285"/>
      <c r="F51" s="120">
        <f>SUM(F49:F50)</f>
        <v>-708.8497350000004</v>
      </c>
      <c r="G51" s="123">
        <f>G49+G50</f>
        <v>1052.8853789999996</v>
      </c>
    </row>
    <row r="53" ht="13.5" thickBot="1"/>
    <row r="54" spans="3:17" ht="24" thickBot="1">
      <c r="C54" s="255" t="s">
        <v>67</v>
      </c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14" t="s">
        <v>45</v>
      </c>
      <c r="P54" s="14"/>
      <c r="Q54" s="50"/>
    </row>
    <row r="55" spans="2:17" ht="13.5" thickBot="1">
      <c r="B55" s="4" t="s">
        <v>42</v>
      </c>
      <c r="C55" s="174" t="str">
        <f>C12</f>
        <v>Januar</v>
      </c>
      <c r="D55" s="175" t="str">
        <f aca="true" t="shared" si="26" ref="D55:N55">D12</f>
        <v>Februar</v>
      </c>
      <c r="E55" s="175" t="str">
        <f t="shared" si="26"/>
        <v>März</v>
      </c>
      <c r="F55" s="175" t="str">
        <f t="shared" si="26"/>
        <v>April</v>
      </c>
      <c r="G55" s="175" t="str">
        <f t="shared" si="26"/>
        <v>Mai</v>
      </c>
      <c r="H55" s="175" t="str">
        <f t="shared" si="26"/>
        <v>Juni</v>
      </c>
      <c r="I55" s="175" t="str">
        <f t="shared" si="26"/>
        <v>Juli</v>
      </c>
      <c r="J55" s="175" t="str">
        <f t="shared" si="26"/>
        <v>August</v>
      </c>
      <c r="K55" s="175" t="str">
        <f t="shared" si="26"/>
        <v>September</v>
      </c>
      <c r="L55" s="175" t="str">
        <f t="shared" si="26"/>
        <v>Oktober</v>
      </c>
      <c r="M55" s="175" t="str">
        <f t="shared" si="26"/>
        <v>November</v>
      </c>
      <c r="N55" s="176" t="str">
        <f t="shared" si="26"/>
        <v>Dezember</v>
      </c>
      <c r="O55" s="51"/>
      <c r="P55" s="51"/>
      <c r="Q55" s="52"/>
    </row>
    <row r="56" spans="2:17" ht="12.75">
      <c r="B56" s="124" t="s">
        <v>43</v>
      </c>
      <c r="C56" s="180">
        <f>ROUND(C18+C37,0)</f>
        <v>41</v>
      </c>
      <c r="D56" s="131">
        <f aca="true" t="shared" si="27" ref="D56:M56">ROUND(D18+D37,0)</f>
        <v>83</v>
      </c>
      <c r="E56" s="178">
        <f t="shared" si="27"/>
        <v>94</v>
      </c>
      <c r="F56" s="183">
        <f t="shared" si="27"/>
        <v>117</v>
      </c>
      <c r="G56" s="131">
        <f t="shared" si="27"/>
        <v>120</v>
      </c>
      <c r="H56" s="178">
        <f t="shared" si="27"/>
        <v>44</v>
      </c>
      <c r="I56" s="183">
        <f t="shared" si="27"/>
        <v>82</v>
      </c>
      <c r="J56" s="131">
        <f t="shared" si="27"/>
        <v>77</v>
      </c>
      <c r="K56" s="178">
        <f t="shared" si="27"/>
        <v>69</v>
      </c>
      <c r="L56" s="183">
        <f t="shared" si="27"/>
        <v>57</v>
      </c>
      <c r="M56" s="131">
        <f t="shared" si="27"/>
        <v>36</v>
      </c>
      <c r="N56" s="178">
        <f>ROUND(N18+N37+N23,0)</f>
        <v>23</v>
      </c>
      <c r="O56" s="53" t="s">
        <v>46</v>
      </c>
      <c r="P56" s="51"/>
      <c r="Q56" s="52"/>
    </row>
    <row r="57" spans="2:17" ht="12.75">
      <c r="B57" s="173" t="s">
        <v>44</v>
      </c>
      <c r="C57" s="181">
        <f aca="true" t="shared" si="28" ref="C57:N57">C41+IF(AND(YEAR($F6)=$C$3,MONTH($F6)=C1),$L6*0.19,0)+IF(AND(YEAR($F7)=$C$3,MONTH($F7)=C1),$L7*0.19,0)</f>
        <v>0</v>
      </c>
      <c r="D57" s="177">
        <f t="shared" si="28"/>
        <v>0</v>
      </c>
      <c r="E57" s="179">
        <f t="shared" si="28"/>
        <v>0</v>
      </c>
      <c r="F57" s="184">
        <f t="shared" si="28"/>
        <v>0</v>
      </c>
      <c r="G57" s="177">
        <f t="shared" si="28"/>
        <v>0</v>
      </c>
      <c r="H57" s="179">
        <f t="shared" si="28"/>
        <v>0</v>
      </c>
      <c r="I57" s="184">
        <f t="shared" si="28"/>
        <v>0</v>
      </c>
      <c r="J57" s="177">
        <f t="shared" si="28"/>
        <v>0</v>
      </c>
      <c r="K57" s="179">
        <f t="shared" si="28"/>
        <v>0</v>
      </c>
      <c r="L57" s="184">
        <f t="shared" si="28"/>
        <v>0</v>
      </c>
      <c r="M57" s="177">
        <f t="shared" si="28"/>
        <v>0</v>
      </c>
      <c r="N57" s="179">
        <f t="shared" si="28"/>
        <v>0</v>
      </c>
      <c r="O57" s="51" t="s">
        <v>47</v>
      </c>
      <c r="P57" s="51"/>
      <c r="Q57" s="52"/>
    </row>
    <row r="58" spans="2:17" ht="13.5" thickBot="1">
      <c r="B58" s="125"/>
      <c r="C58" s="182">
        <f>C56*0.19-C57</f>
        <v>7.79</v>
      </c>
      <c r="D58" s="133">
        <f aca="true" t="shared" si="29" ref="D58:N58">D56*0.19-D57</f>
        <v>15.77</v>
      </c>
      <c r="E58" s="134">
        <f t="shared" si="29"/>
        <v>17.86</v>
      </c>
      <c r="F58" s="132">
        <f t="shared" si="29"/>
        <v>22.23</v>
      </c>
      <c r="G58" s="133">
        <f t="shared" si="29"/>
        <v>22.8</v>
      </c>
      <c r="H58" s="134">
        <f t="shared" si="29"/>
        <v>8.36</v>
      </c>
      <c r="I58" s="132">
        <f t="shared" si="29"/>
        <v>15.58</v>
      </c>
      <c r="J58" s="133">
        <f t="shared" si="29"/>
        <v>14.63</v>
      </c>
      <c r="K58" s="134">
        <f t="shared" si="29"/>
        <v>13.11</v>
      </c>
      <c r="L58" s="132">
        <f t="shared" si="29"/>
        <v>10.83</v>
      </c>
      <c r="M58" s="133">
        <f t="shared" si="29"/>
        <v>6.84</v>
      </c>
      <c r="N58" s="134">
        <f t="shared" si="29"/>
        <v>4.37</v>
      </c>
      <c r="O58" s="55">
        <f>SUM(C58:N58)</f>
        <v>160.17000000000002</v>
      </c>
      <c r="P58" s="51"/>
      <c r="Q58" s="52"/>
    </row>
    <row r="59" spans="2:17" ht="12.75">
      <c r="B59" s="124" t="s">
        <v>43</v>
      </c>
      <c r="C59" s="208">
        <f>ROUND(SUM(C56:E56),0)</f>
        <v>218</v>
      </c>
      <c r="D59" s="235"/>
      <c r="E59" s="236"/>
      <c r="F59" s="240">
        <f>ROUND(SUM(F56:H56),0)</f>
        <v>281</v>
      </c>
      <c r="G59" s="235"/>
      <c r="H59" s="236"/>
      <c r="I59" s="240">
        <f>ROUND(SUM(I56:K56),0)</f>
        <v>228</v>
      </c>
      <c r="J59" s="235"/>
      <c r="K59" s="236"/>
      <c r="L59" s="240">
        <f>ROUND(SUM(L56:N56),0)</f>
        <v>116</v>
      </c>
      <c r="M59" s="235"/>
      <c r="N59" s="236"/>
      <c r="O59" s="135" t="s">
        <v>127</v>
      </c>
      <c r="P59" s="51"/>
      <c r="Q59" s="52"/>
    </row>
    <row r="60" spans="2:17" ht="12.75">
      <c r="B60" s="173" t="s">
        <v>44</v>
      </c>
      <c r="C60" s="237">
        <f>SUM(C57:E57)</f>
        <v>0</v>
      </c>
      <c r="D60" s="238"/>
      <c r="E60" s="239"/>
      <c r="F60" s="241">
        <f>SUM(F57:H57)</f>
        <v>0</v>
      </c>
      <c r="G60" s="238"/>
      <c r="H60" s="239"/>
      <c r="I60" s="241">
        <f>SUM(I57:K57)</f>
        <v>0</v>
      </c>
      <c r="J60" s="238"/>
      <c r="K60" s="239"/>
      <c r="L60" s="241">
        <f>SUM(L57:N57)</f>
        <v>0</v>
      </c>
      <c r="M60" s="238"/>
      <c r="N60" s="239"/>
      <c r="O60" s="51"/>
      <c r="P60" s="51"/>
      <c r="Q60" s="52"/>
    </row>
    <row r="61" spans="2:17" ht="13.5" thickBot="1">
      <c r="B61" s="125"/>
      <c r="C61" s="210">
        <f aca="true" t="shared" si="30" ref="C61:N61">C59*0.19-C60</f>
        <v>41.42</v>
      </c>
      <c r="D61" s="211">
        <f t="shared" si="30"/>
        <v>0</v>
      </c>
      <c r="E61" s="212">
        <f t="shared" si="30"/>
        <v>0</v>
      </c>
      <c r="F61" s="213">
        <f t="shared" si="30"/>
        <v>53.39</v>
      </c>
      <c r="G61" s="211">
        <f t="shared" si="30"/>
        <v>0</v>
      </c>
      <c r="H61" s="212">
        <f t="shared" si="30"/>
        <v>0</v>
      </c>
      <c r="I61" s="213">
        <f t="shared" si="30"/>
        <v>43.32</v>
      </c>
      <c r="J61" s="211">
        <f t="shared" si="30"/>
        <v>0</v>
      </c>
      <c r="K61" s="212">
        <f t="shared" si="30"/>
        <v>0</v>
      </c>
      <c r="L61" s="213">
        <f t="shared" si="30"/>
        <v>22.04</v>
      </c>
      <c r="M61" s="211">
        <f t="shared" si="30"/>
        <v>0</v>
      </c>
      <c r="N61" s="212">
        <f t="shared" si="30"/>
        <v>0</v>
      </c>
      <c r="O61" s="51"/>
      <c r="P61" s="51"/>
      <c r="Q61" s="52"/>
    </row>
    <row r="62" spans="2:17" ht="12.75">
      <c r="B62" s="124" t="s">
        <v>43</v>
      </c>
      <c r="C62" s="228">
        <f>SUM(C56:H56)</f>
        <v>499</v>
      </c>
      <c r="D62" s="215"/>
      <c r="E62" s="215"/>
      <c r="F62" s="215"/>
      <c r="G62" s="215"/>
      <c r="H62" s="216"/>
      <c r="I62" s="214">
        <f>SUM(I56:N56)</f>
        <v>344</v>
      </c>
      <c r="J62" s="215"/>
      <c r="K62" s="215"/>
      <c r="L62" s="215"/>
      <c r="M62" s="215"/>
      <c r="N62" s="216"/>
      <c r="O62" s="136" t="s">
        <v>128</v>
      </c>
      <c r="P62" s="51"/>
      <c r="Q62" s="52"/>
    </row>
    <row r="63" spans="2:17" ht="12.75">
      <c r="B63" s="173" t="s">
        <v>44</v>
      </c>
      <c r="C63" s="229">
        <f>SUM(C57:H57)</f>
        <v>0</v>
      </c>
      <c r="D63" s="218"/>
      <c r="E63" s="218"/>
      <c r="F63" s="218"/>
      <c r="G63" s="218"/>
      <c r="H63" s="219"/>
      <c r="I63" s="217">
        <f>SUM(I57:N57)</f>
        <v>0</v>
      </c>
      <c r="J63" s="218"/>
      <c r="K63" s="218"/>
      <c r="L63" s="218"/>
      <c r="M63" s="218"/>
      <c r="N63" s="219"/>
      <c r="O63" s="51"/>
      <c r="P63" s="51"/>
      <c r="Q63" s="52"/>
    </row>
    <row r="64" spans="2:17" ht="13.5" thickBot="1">
      <c r="B64" s="125"/>
      <c r="C64" s="230">
        <f aca="true" t="shared" si="31" ref="C64:N64">C62*0.19-C63</f>
        <v>94.81</v>
      </c>
      <c r="D64" s="231">
        <f t="shared" si="31"/>
        <v>0</v>
      </c>
      <c r="E64" s="231">
        <f t="shared" si="31"/>
        <v>0</v>
      </c>
      <c r="F64" s="231">
        <f t="shared" si="31"/>
        <v>0</v>
      </c>
      <c r="G64" s="231">
        <f t="shared" si="31"/>
        <v>0</v>
      </c>
      <c r="H64" s="232">
        <f t="shared" si="31"/>
        <v>0</v>
      </c>
      <c r="I64" s="233">
        <f t="shared" si="31"/>
        <v>65.36</v>
      </c>
      <c r="J64" s="231">
        <f t="shared" si="31"/>
        <v>0</v>
      </c>
      <c r="K64" s="231">
        <f t="shared" si="31"/>
        <v>0</v>
      </c>
      <c r="L64" s="231">
        <f t="shared" si="31"/>
        <v>0</v>
      </c>
      <c r="M64" s="231">
        <f t="shared" si="31"/>
        <v>0</v>
      </c>
      <c r="N64" s="232">
        <f t="shared" si="31"/>
        <v>0</v>
      </c>
      <c r="O64" s="51"/>
      <c r="P64" s="51"/>
      <c r="Q64" s="52"/>
    </row>
    <row r="65" spans="2:17" ht="12.75">
      <c r="B65" s="124" t="s">
        <v>43</v>
      </c>
      <c r="C65" s="225">
        <f>SUM(C56:N56)</f>
        <v>843</v>
      </c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7"/>
      <c r="O65" s="137" t="s">
        <v>129</v>
      </c>
      <c r="P65" s="51"/>
      <c r="Q65" s="52"/>
    </row>
    <row r="66" spans="2:17" ht="12.75">
      <c r="B66" s="173" t="s">
        <v>44</v>
      </c>
      <c r="C66" s="220">
        <f>SUM(C57:N57)</f>
        <v>0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2"/>
      <c r="O66" s="51"/>
      <c r="P66" s="51"/>
      <c r="Q66" s="52"/>
    </row>
    <row r="67" spans="2:17" ht="13.5" thickBot="1">
      <c r="B67" s="125"/>
      <c r="C67" s="234">
        <f aca="true" t="shared" si="32" ref="C67:N67">C65*0.19-C66</f>
        <v>160.17000000000002</v>
      </c>
      <c r="D67" s="209">
        <f t="shared" si="32"/>
        <v>0</v>
      </c>
      <c r="E67" s="209">
        <f t="shared" si="32"/>
        <v>0</v>
      </c>
      <c r="F67" s="209">
        <f t="shared" si="32"/>
        <v>0</v>
      </c>
      <c r="G67" s="209">
        <f t="shared" si="32"/>
        <v>0</v>
      </c>
      <c r="H67" s="209">
        <f t="shared" si="32"/>
        <v>0</v>
      </c>
      <c r="I67" s="209">
        <f t="shared" si="32"/>
        <v>0</v>
      </c>
      <c r="J67" s="209">
        <f t="shared" si="32"/>
        <v>0</v>
      </c>
      <c r="K67" s="209">
        <f t="shared" si="32"/>
        <v>0</v>
      </c>
      <c r="L67" s="209">
        <f t="shared" si="32"/>
        <v>0</v>
      </c>
      <c r="M67" s="209">
        <f t="shared" si="32"/>
        <v>0</v>
      </c>
      <c r="N67" s="207">
        <f t="shared" si="32"/>
        <v>0</v>
      </c>
      <c r="O67" s="51"/>
      <c r="P67" s="51"/>
      <c r="Q67" s="52"/>
    </row>
    <row r="68" spans="2:17" ht="12.75">
      <c r="B68" s="4"/>
      <c r="C68" s="223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51"/>
      <c r="P68" s="51"/>
      <c r="Q68" s="52"/>
    </row>
    <row r="69" spans="3:17" ht="13.5" thickBot="1">
      <c r="C69" s="54" t="s">
        <v>71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2"/>
      <c r="P69" s="51"/>
      <c r="Q69" s="52"/>
    </row>
    <row r="70" spans="3:17" ht="23.25">
      <c r="C70" s="255" t="s">
        <v>69</v>
      </c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14"/>
      <c r="P70" s="14"/>
      <c r="Q70" s="50"/>
    </row>
    <row r="71" spans="3:17" ht="12.75">
      <c r="C71" s="54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2"/>
    </row>
    <row r="72" spans="3:17" ht="13.5" thickBot="1">
      <c r="C72" s="54"/>
      <c r="D72" s="55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2"/>
    </row>
    <row r="73" spans="2:17" ht="12.75">
      <c r="B73" s="4" t="s">
        <v>117</v>
      </c>
      <c r="C73" s="277" t="s">
        <v>4</v>
      </c>
      <c r="D73" s="289"/>
      <c r="E73" s="18">
        <f>O18</f>
        <v>192.88000000000005</v>
      </c>
      <c r="F73" s="32"/>
      <c r="G73" s="112"/>
      <c r="H73" s="60" t="s">
        <v>70</v>
      </c>
      <c r="I73" s="60"/>
      <c r="J73" s="60"/>
      <c r="K73" s="60"/>
      <c r="L73" s="60"/>
      <c r="M73" s="60"/>
      <c r="N73" s="60"/>
      <c r="O73" s="60"/>
      <c r="P73" s="60"/>
      <c r="Q73" s="61"/>
    </row>
    <row r="74" spans="2:17" ht="12.75">
      <c r="B74" s="4" t="s">
        <v>118</v>
      </c>
      <c r="C74" s="290" t="s">
        <v>31</v>
      </c>
      <c r="D74" s="291"/>
      <c r="E74" s="111">
        <f>O37</f>
        <v>649.8</v>
      </c>
      <c r="F74" s="84"/>
      <c r="G74" s="55"/>
      <c r="H74" s="110"/>
      <c r="I74" s="56"/>
      <c r="J74" s="56"/>
      <c r="K74" s="56"/>
      <c r="L74" s="56"/>
      <c r="M74" s="56"/>
      <c r="N74" s="56"/>
      <c r="O74" s="56"/>
      <c r="P74" s="56"/>
      <c r="Q74" s="58"/>
    </row>
    <row r="75" spans="2:17" ht="13.5" thickBot="1">
      <c r="B75" s="4" t="s">
        <v>119</v>
      </c>
      <c r="C75" s="283" t="s">
        <v>63</v>
      </c>
      <c r="D75" s="292"/>
      <c r="E75" s="16">
        <f>SUM(C57:N57)</f>
        <v>0</v>
      </c>
      <c r="F75" s="15"/>
      <c r="G75" s="15"/>
      <c r="H75" s="62"/>
      <c r="I75" s="57"/>
      <c r="J75" s="57"/>
      <c r="K75" s="57"/>
      <c r="L75" s="57"/>
      <c r="M75" s="57"/>
      <c r="N75" s="57"/>
      <c r="O75" s="57"/>
      <c r="P75" s="57"/>
      <c r="Q75" s="59"/>
    </row>
    <row r="76" spans="3:17" ht="23.25">
      <c r="C76" s="255" t="s">
        <v>54</v>
      </c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14"/>
      <c r="P76" s="14"/>
      <c r="Q76" s="50"/>
    </row>
    <row r="77" spans="3:17" ht="13.5" thickBot="1">
      <c r="C77" s="54" t="s">
        <v>50</v>
      </c>
      <c r="D77" s="51"/>
      <c r="E77" s="51"/>
      <c r="F77" s="51"/>
      <c r="G77" s="51"/>
      <c r="H77" s="51"/>
      <c r="I77" s="85" t="s">
        <v>137</v>
      </c>
      <c r="J77" s="51" t="s">
        <v>136</v>
      </c>
      <c r="K77" s="51" t="s">
        <v>138</v>
      </c>
      <c r="L77" s="51"/>
      <c r="M77" s="51"/>
      <c r="N77" s="51"/>
      <c r="O77" s="51"/>
      <c r="P77" s="51"/>
      <c r="Q77" s="52"/>
    </row>
    <row r="78" spans="3:17" ht="12.75">
      <c r="C78" s="253" t="s">
        <v>126</v>
      </c>
      <c r="D78" s="254"/>
      <c r="E78" s="18">
        <f>O40+O36</f>
        <v>46.113114</v>
      </c>
      <c r="F78" s="51"/>
      <c r="G78" s="187" t="s">
        <v>191</v>
      </c>
      <c r="H78" s="50"/>
      <c r="I78" s="186" t="s">
        <v>131</v>
      </c>
      <c r="J78" s="138"/>
      <c r="K78" s="18">
        <f>($L$6-$O$6)*J78</f>
        <v>0</v>
      </c>
      <c r="L78" s="113"/>
      <c r="M78" s="51" t="s">
        <v>193</v>
      </c>
      <c r="N78" s="51"/>
      <c r="O78" s="51"/>
      <c r="P78" s="51"/>
      <c r="Q78" s="52"/>
    </row>
    <row r="79" spans="3:17" ht="13.5" thickBot="1">
      <c r="C79" s="286" t="s">
        <v>103</v>
      </c>
      <c r="D79" s="287"/>
      <c r="E79" s="21">
        <f>O18*0.19+O38</f>
        <v>160.10920000000002</v>
      </c>
      <c r="F79" s="51"/>
      <c r="G79" s="189">
        <v>20</v>
      </c>
      <c r="H79" s="188" t="s">
        <v>192</v>
      </c>
      <c r="I79" s="185" t="s">
        <v>130</v>
      </c>
      <c r="J79" s="139"/>
      <c r="K79" s="21">
        <f>($L$6-$O$6)*J79</f>
        <v>0</v>
      </c>
      <c r="L79" s="51"/>
      <c r="M79" s="85" t="s">
        <v>139</v>
      </c>
      <c r="N79" s="55">
        <f>L6-O6</f>
        <v>19116.09</v>
      </c>
      <c r="O79" s="142" t="s">
        <v>178</v>
      </c>
      <c r="P79" s="51"/>
      <c r="Q79" s="52"/>
    </row>
    <row r="80" spans="3:17" ht="12.75">
      <c r="C80" s="286" t="s">
        <v>112</v>
      </c>
      <c r="D80" s="288"/>
      <c r="E80" s="21">
        <f>O22</f>
        <v>250.96</v>
      </c>
      <c r="F80" s="51"/>
      <c r="G80" s="51" t="s">
        <v>194</v>
      </c>
      <c r="H80" s="51"/>
      <c r="I80" s="20" t="s">
        <v>132</v>
      </c>
      <c r="J80" s="139"/>
      <c r="K80" s="21">
        <f>($L$6-$O$6)*J80</f>
        <v>0</v>
      </c>
      <c r="L80" s="51"/>
      <c r="M80" s="85" t="s">
        <v>140</v>
      </c>
      <c r="N80" s="55">
        <f>K83+J84*N79/20+(L6-O6-K83)/20*(20-J84)</f>
        <v>19116.09</v>
      </c>
      <c r="O80" s="142" t="s">
        <v>179</v>
      </c>
      <c r="P80" s="51"/>
      <c r="Q80" s="52"/>
    </row>
    <row r="81" spans="3:17" ht="12.75">
      <c r="C81" s="286" t="s">
        <v>120</v>
      </c>
      <c r="D81" s="288"/>
      <c r="E81" s="108"/>
      <c r="F81" s="51"/>
      <c r="G81" s="51"/>
      <c r="H81" s="51"/>
      <c r="I81" s="126" t="s">
        <v>133</v>
      </c>
      <c r="J81" s="139"/>
      <c r="K81" s="21">
        <f>($L$6-$O$6)*J81</f>
        <v>0</v>
      </c>
      <c r="L81" s="51"/>
      <c r="M81" s="51"/>
      <c r="N81" s="51"/>
      <c r="O81" s="142" t="s">
        <v>180</v>
      </c>
      <c r="P81" s="51"/>
      <c r="Q81" s="52"/>
    </row>
    <row r="82" spans="3:17" ht="13.5" thickBot="1">
      <c r="C82" s="286" t="s">
        <v>121</v>
      </c>
      <c r="D82" s="288"/>
      <c r="E82" s="108"/>
      <c r="F82" s="51"/>
      <c r="G82" s="51"/>
      <c r="H82" s="51"/>
      <c r="I82" s="127" t="s">
        <v>134</v>
      </c>
      <c r="J82" s="140"/>
      <c r="K82" s="16">
        <f>($L$6-$O$6)*J82</f>
        <v>0</v>
      </c>
      <c r="L82" s="129">
        <f>IF(SUM(J78:J82)&gt;0.2,"Sie haben die maximale Sonderabschreibung von 20% überschritten!!","")</f>
      </c>
      <c r="M82" s="51"/>
      <c r="N82" s="51"/>
      <c r="O82" s="51"/>
      <c r="P82" s="51"/>
      <c r="Q82" s="52"/>
    </row>
    <row r="83" spans="3:17" ht="13.5" thickBot="1">
      <c r="C83" s="286" t="s">
        <v>57</v>
      </c>
      <c r="D83" s="287"/>
      <c r="E83" s="108"/>
      <c r="F83" s="51"/>
      <c r="H83" s="51"/>
      <c r="I83" s="130"/>
      <c r="J83" s="141">
        <f>SUM(J78:J82)</f>
        <v>0</v>
      </c>
      <c r="K83" s="128">
        <f>SUM(K78:K82)</f>
        <v>0</v>
      </c>
      <c r="L83" s="51" t="s">
        <v>170</v>
      </c>
      <c r="M83" s="51"/>
      <c r="N83" s="51"/>
      <c r="O83" s="51"/>
      <c r="P83" s="51"/>
      <c r="Q83" s="52"/>
    </row>
    <row r="84" spans="3:17" ht="12.75">
      <c r="C84" s="299" t="s">
        <v>51</v>
      </c>
      <c r="D84" s="300"/>
      <c r="E84" s="21">
        <f>SUM(J85:J86)</f>
        <v>955.8045</v>
      </c>
      <c r="F84" s="51"/>
      <c r="G84" s="51"/>
      <c r="I84" s="3" t="s">
        <v>168</v>
      </c>
      <c r="J84">
        <f>IF(J78&gt;=0.2,1,IF(SUM(J78:J79)&gt;=0.2,2,IF(SUM(J78:J80)&gt;=0.2,3,IF(SUM(J78:J81)&gt;=0.2,4,5))))</f>
        <v>5</v>
      </c>
      <c r="K84" t="s">
        <v>169</v>
      </c>
      <c r="P84" s="51"/>
      <c r="Q84" s="52"/>
    </row>
    <row r="85" spans="3:17" ht="13.5" thickBot="1">
      <c r="C85" s="301" t="s">
        <v>135</v>
      </c>
      <c r="D85" s="302"/>
      <c r="E85" s="16">
        <f>IF(E48=1,K78,IF(E48=2,K79,IF(E48=3,K80,IF(E48=4,K81,IF(E48=5,K82,0)))))</f>
        <v>0</v>
      </c>
      <c r="F85" s="51"/>
      <c r="G85" s="51"/>
      <c r="H85" s="51"/>
      <c r="I85" s="85" t="s">
        <v>99</v>
      </c>
      <c r="J85" s="55">
        <f>IF(F6&lt;&gt;"",IF($C$3&lt;=YEAR(F6)+G79+1,(L6-O6-IF(OR(E48&gt;5,E48&gt;J84),SUM(K78:K82),0))/G79*IF(YEAR(F6)=$C$3,M85,IF(YEAR(F6)=$C$3+21,P85,1)),0),0)</f>
        <v>955.8045</v>
      </c>
      <c r="K85" s="51"/>
      <c r="L85" s="85" t="s">
        <v>52</v>
      </c>
      <c r="M85" s="113">
        <f>(13-MONTH(F6))/12</f>
        <v>0.5833333333333334</v>
      </c>
      <c r="N85" s="51"/>
      <c r="O85" s="85" t="s">
        <v>53</v>
      </c>
      <c r="P85" s="113">
        <f>(MONTH(F6)-1)/12</f>
        <v>0.4166666666666667</v>
      </c>
      <c r="Q85" s="52"/>
    </row>
    <row r="86" spans="3:17" ht="12.75">
      <c r="C86" s="290" t="s">
        <v>105</v>
      </c>
      <c r="D86" s="298"/>
      <c r="E86" s="55">
        <f>SUM(E78:E85)</f>
        <v>1412.9868139999999</v>
      </c>
      <c r="F86" s="51"/>
      <c r="G86" s="51"/>
      <c r="H86" s="51"/>
      <c r="I86" s="85"/>
      <c r="J86" s="55"/>
      <c r="K86" s="51"/>
      <c r="L86" s="85"/>
      <c r="M86" s="113"/>
      <c r="N86" s="51"/>
      <c r="O86" s="85"/>
      <c r="P86" s="113"/>
      <c r="Q86" s="52"/>
    </row>
    <row r="87" spans="3:17" ht="12.75">
      <c r="C87" s="54"/>
      <c r="D87" s="51"/>
      <c r="E87" s="51"/>
      <c r="F87" s="51"/>
      <c r="G87" s="51" t="s">
        <v>96</v>
      </c>
      <c r="H87" s="51"/>
      <c r="I87" s="51"/>
      <c r="J87" s="51"/>
      <c r="K87" s="51"/>
      <c r="L87" s="51"/>
      <c r="M87" s="51"/>
      <c r="N87" s="51"/>
      <c r="O87" s="51"/>
      <c r="P87" s="51"/>
      <c r="Q87" s="52"/>
    </row>
    <row r="88" spans="3:17" ht="13.5" thickBot="1">
      <c r="C88" s="54" t="s">
        <v>49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2"/>
    </row>
    <row r="89" spans="3:17" ht="12.75">
      <c r="C89" s="293" t="s">
        <v>184</v>
      </c>
      <c r="D89" s="245"/>
      <c r="E89" s="18">
        <f>O18*0.19</f>
        <v>36.64720000000001</v>
      </c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2"/>
    </row>
    <row r="90" spans="3:17" ht="12.75">
      <c r="C90" s="286" t="s">
        <v>104</v>
      </c>
      <c r="D90" s="288"/>
      <c r="E90" s="21">
        <f>H90+L90</f>
        <v>857.3229040050858</v>
      </c>
      <c r="F90" s="114" t="s">
        <v>114</v>
      </c>
      <c r="G90" s="143" t="s">
        <v>31</v>
      </c>
      <c r="H90" s="144">
        <f>O24*H91/100+(SUM(C30:N30)/O15*O24)</f>
        <v>720.4394151303242</v>
      </c>
      <c r="I90" s="145" t="s">
        <v>115</v>
      </c>
      <c r="J90" s="146" t="s">
        <v>116</v>
      </c>
      <c r="K90" s="147"/>
      <c r="L90" s="148">
        <f>IF(C6=FALSE,H90*0.19,0)</f>
        <v>136.88348887476158</v>
      </c>
      <c r="M90" s="147"/>
      <c r="N90" s="149"/>
      <c r="O90" s="51"/>
      <c r="P90" s="51"/>
      <c r="Q90" s="52"/>
    </row>
    <row r="91" spans="3:17" ht="12.75">
      <c r="C91" s="286" t="s">
        <v>4</v>
      </c>
      <c r="D91" s="288"/>
      <c r="E91" s="21">
        <f>O18</f>
        <v>192.88000000000005</v>
      </c>
      <c r="F91" s="51"/>
      <c r="G91" s="150" t="s">
        <v>177</v>
      </c>
      <c r="H91" s="294">
        <f>G11*100</f>
        <v>20</v>
      </c>
      <c r="I91" s="295"/>
      <c r="J91" s="151" t="s">
        <v>181</v>
      </c>
      <c r="K91" s="152"/>
      <c r="L91" s="152"/>
      <c r="M91" s="152"/>
      <c r="N91" s="153"/>
      <c r="O91" s="51"/>
      <c r="P91" s="51"/>
      <c r="Q91" s="52"/>
    </row>
    <row r="92" spans="3:17" ht="13.5" thickBot="1">
      <c r="C92" s="296"/>
      <c r="D92" s="297"/>
      <c r="E92" s="16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2"/>
    </row>
    <row r="93" spans="3:17" ht="12.75">
      <c r="C93" s="115"/>
      <c r="D93" s="85" t="s">
        <v>105</v>
      </c>
      <c r="E93" s="55">
        <f>SUM(E89:E92)</f>
        <v>1086.8501040050858</v>
      </c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2"/>
    </row>
    <row r="94" spans="3:17" ht="13.5" thickBot="1">
      <c r="C94" s="54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2"/>
    </row>
    <row r="95" spans="3:17" ht="12.75">
      <c r="C95" s="11" t="s">
        <v>55</v>
      </c>
      <c r="D95" s="18">
        <f>E93</f>
        <v>1086.8501040050858</v>
      </c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2"/>
    </row>
    <row r="96" spans="3:17" ht="12.75">
      <c r="C96" s="20" t="s">
        <v>56</v>
      </c>
      <c r="D96" s="21">
        <f>E86</f>
        <v>1412.9868139999999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2"/>
    </row>
    <row r="97" spans="3:17" ht="13.5" thickBot="1">
      <c r="C97" s="19" t="s">
        <v>64</v>
      </c>
      <c r="D97" s="116">
        <f>D95-D96</f>
        <v>-326.1367099949141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0"/>
    </row>
    <row r="100" ht="12.75">
      <c r="C100" s="2" t="s">
        <v>76</v>
      </c>
    </row>
    <row r="101" spans="3:5" ht="12.75">
      <c r="C101" s="2"/>
      <c r="E101" t="s">
        <v>93</v>
      </c>
    </row>
    <row r="102" spans="3:5" ht="12.75">
      <c r="C102" s="2"/>
      <c r="E102" t="s">
        <v>87</v>
      </c>
    </row>
    <row r="103" spans="3:5" ht="12.75">
      <c r="C103" s="2"/>
      <c r="E103" t="s">
        <v>113</v>
      </c>
    </row>
    <row r="104" ht="12.75">
      <c r="E104" t="s">
        <v>77</v>
      </c>
    </row>
    <row r="105" ht="12.75">
      <c r="E105" t="s">
        <v>174</v>
      </c>
    </row>
    <row r="106" ht="12.75">
      <c r="E106" t="s">
        <v>78</v>
      </c>
    </row>
    <row r="107" ht="12.75">
      <c r="E107" t="s">
        <v>79</v>
      </c>
    </row>
    <row r="108" ht="12.75">
      <c r="E108" t="s">
        <v>80</v>
      </c>
    </row>
    <row r="109" ht="12.75">
      <c r="E109" t="s">
        <v>81</v>
      </c>
    </row>
    <row r="110" ht="12.75">
      <c r="E110" t="s">
        <v>82</v>
      </c>
    </row>
    <row r="111" ht="12.75">
      <c r="E111" t="s">
        <v>83</v>
      </c>
    </row>
    <row r="112" ht="12.75">
      <c r="E112" t="s">
        <v>175</v>
      </c>
    </row>
    <row r="113" spans="5:6" ht="12.75">
      <c r="E113" t="s">
        <v>88</v>
      </c>
      <c r="F113" s="69" t="s">
        <v>89</v>
      </c>
    </row>
    <row r="114" spans="5:6" ht="12.75">
      <c r="E114" t="s">
        <v>176</v>
      </c>
      <c r="F114" s="69"/>
    </row>
    <row r="115" ht="12.75">
      <c r="E115" t="s">
        <v>94</v>
      </c>
    </row>
    <row r="116" ht="12.75">
      <c r="E116" t="s">
        <v>95</v>
      </c>
    </row>
    <row r="117" ht="12.75">
      <c r="E117" t="s">
        <v>84</v>
      </c>
    </row>
    <row r="118" spans="5:10" ht="12.75">
      <c r="E118" t="s">
        <v>85</v>
      </c>
      <c r="J118" s="69" t="s">
        <v>86</v>
      </c>
    </row>
    <row r="119" ht="12.75">
      <c r="E119" s="73" t="s">
        <v>92</v>
      </c>
    </row>
    <row r="122" spans="1:2" ht="12.75">
      <c r="A122" s="4" t="s">
        <v>144</v>
      </c>
      <c r="B122" t="s">
        <v>148</v>
      </c>
    </row>
    <row r="123" spans="1:2" ht="12.75">
      <c r="A123" s="4"/>
      <c r="B123" t="s">
        <v>141</v>
      </c>
    </row>
    <row r="124" spans="1:2" ht="12.75">
      <c r="A124" s="4"/>
      <c r="B124" t="s">
        <v>142</v>
      </c>
    </row>
    <row r="125" spans="1:2" ht="12.75">
      <c r="A125" s="4"/>
      <c r="B125" t="s">
        <v>171</v>
      </c>
    </row>
    <row r="126" spans="1:2" ht="12.75">
      <c r="A126" s="4"/>
      <c r="B126" t="s">
        <v>149</v>
      </c>
    </row>
    <row r="127" ht="12.75">
      <c r="A127" s="4"/>
    </row>
    <row r="128" ht="12.75">
      <c r="A128" s="4"/>
    </row>
    <row r="129" spans="1:2" ht="12.75">
      <c r="A129" s="4" t="s">
        <v>143</v>
      </c>
      <c r="B129" t="s">
        <v>145</v>
      </c>
    </row>
    <row r="130" spans="1:3" ht="12.75">
      <c r="A130" s="4"/>
      <c r="B130" t="s">
        <v>146</v>
      </c>
      <c r="C130" t="s">
        <v>147</v>
      </c>
    </row>
    <row r="131" ht="12.75">
      <c r="A131" s="4"/>
    </row>
    <row r="132" spans="1:2" ht="12.75">
      <c r="A132" s="4" t="s">
        <v>150</v>
      </c>
      <c r="B132" t="s">
        <v>151</v>
      </c>
    </row>
    <row r="133" spans="2:3" ht="12.75">
      <c r="B133" s="4" t="s">
        <v>152</v>
      </c>
      <c r="C133" t="s">
        <v>153</v>
      </c>
    </row>
    <row r="134" spans="2:3" ht="12.75">
      <c r="B134" s="4"/>
      <c r="C134" t="s">
        <v>154</v>
      </c>
    </row>
    <row r="135" ht="12.75">
      <c r="B135" s="4"/>
    </row>
    <row r="136" spans="2:3" ht="12.75">
      <c r="B136" s="4" t="s">
        <v>155</v>
      </c>
      <c r="C136" t="s">
        <v>156</v>
      </c>
    </row>
    <row r="137" spans="2:3" ht="12.75">
      <c r="B137" s="4"/>
      <c r="C137" t="s">
        <v>157</v>
      </c>
    </row>
    <row r="138" spans="2:3" ht="12.75">
      <c r="B138" s="4"/>
      <c r="C138" t="s">
        <v>112</v>
      </c>
    </row>
    <row r="139" spans="2:3" ht="12.75">
      <c r="B139" s="4"/>
      <c r="C139" t="s">
        <v>158</v>
      </c>
    </row>
    <row r="140" spans="2:3" ht="12.75">
      <c r="B140" s="4"/>
      <c r="C140" t="s">
        <v>159</v>
      </c>
    </row>
    <row r="141" spans="2:3" ht="12.75">
      <c r="B141" s="4"/>
      <c r="C141" t="s">
        <v>166</v>
      </c>
    </row>
    <row r="142" spans="2:3" ht="12.75">
      <c r="B142" s="4"/>
      <c r="C142" t="s">
        <v>160</v>
      </c>
    </row>
    <row r="143" ht="12.75">
      <c r="B143" s="4"/>
    </row>
    <row r="144" ht="12.75">
      <c r="B144" s="4"/>
    </row>
    <row r="145" spans="2:3" ht="12.75">
      <c r="B145" s="4" t="s">
        <v>172</v>
      </c>
      <c r="C145" t="s">
        <v>161</v>
      </c>
    </row>
    <row r="146" spans="2:3" ht="12.75">
      <c r="B146" s="4" t="s">
        <v>163</v>
      </c>
      <c r="C146" t="s">
        <v>162</v>
      </c>
    </row>
    <row r="147" ht="12.75">
      <c r="C147" t="s">
        <v>164</v>
      </c>
    </row>
    <row r="148" ht="12.75">
      <c r="C148" t="s">
        <v>167</v>
      </c>
    </row>
    <row r="149" ht="12.75">
      <c r="C149" t="s">
        <v>165</v>
      </c>
    </row>
    <row r="150" ht="12.75">
      <c r="C150" t="s">
        <v>173</v>
      </c>
    </row>
  </sheetData>
  <sheetProtection/>
  <mergeCells count="64">
    <mergeCell ref="H91:I91"/>
    <mergeCell ref="C92:D92"/>
    <mergeCell ref="C86:D86"/>
    <mergeCell ref="C80:D80"/>
    <mergeCell ref="C82:D82"/>
    <mergeCell ref="C81:D81"/>
    <mergeCell ref="C84:D84"/>
    <mergeCell ref="C85:D85"/>
    <mergeCell ref="C79:D79"/>
    <mergeCell ref="C90:D90"/>
    <mergeCell ref="C91:D91"/>
    <mergeCell ref="C73:D73"/>
    <mergeCell ref="C74:D74"/>
    <mergeCell ref="C75:D75"/>
    <mergeCell ref="C83:D83"/>
    <mergeCell ref="C89:D89"/>
    <mergeCell ref="C49:E49"/>
    <mergeCell ref="C50:E50"/>
    <mergeCell ref="C51:E51"/>
    <mergeCell ref="D11:F11"/>
    <mergeCell ref="D10:F10"/>
    <mergeCell ref="G11:I11"/>
    <mergeCell ref="G10:I10"/>
    <mergeCell ref="M6:N6"/>
    <mergeCell ref="M7:N7"/>
    <mergeCell ref="H9:I9"/>
    <mergeCell ref="J9:K9"/>
    <mergeCell ref="D6:E6"/>
    <mergeCell ref="D7:E7"/>
    <mergeCell ref="G6:K6"/>
    <mergeCell ref="C5:E5"/>
    <mergeCell ref="F5:I5"/>
    <mergeCell ref="C2:O2"/>
    <mergeCell ref="C78:D78"/>
    <mergeCell ref="C3:O3"/>
    <mergeCell ref="C70:N70"/>
    <mergeCell ref="C54:N54"/>
    <mergeCell ref="C76:N76"/>
    <mergeCell ref="C27:N27"/>
    <mergeCell ref="H8:I8"/>
    <mergeCell ref="G7:K7"/>
    <mergeCell ref="I59:K59"/>
    <mergeCell ref="I60:K60"/>
    <mergeCell ref="L59:N59"/>
    <mergeCell ref="L60:N60"/>
    <mergeCell ref="J10:K10"/>
    <mergeCell ref="C59:E59"/>
    <mergeCell ref="C60:E60"/>
    <mergeCell ref="F59:H59"/>
    <mergeCell ref="F60:H60"/>
    <mergeCell ref="I62:N62"/>
    <mergeCell ref="I63:N63"/>
    <mergeCell ref="C66:N66"/>
    <mergeCell ref="C68:N68"/>
    <mergeCell ref="C65:N65"/>
    <mergeCell ref="C62:H62"/>
    <mergeCell ref="C63:H63"/>
    <mergeCell ref="C64:H64"/>
    <mergeCell ref="I64:N64"/>
    <mergeCell ref="C67:N67"/>
    <mergeCell ref="C61:E61"/>
    <mergeCell ref="F61:H61"/>
    <mergeCell ref="I61:K61"/>
    <mergeCell ref="L61:N61"/>
  </mergeCells>
  <conditionalFormatting sqref="J83">
    <cfRule type="cellIs" priority="1" dxfId="0" operator="greaterThan" stopIfTrue="1">
      <formula>0.2</formula>
    </cfRule>
    <cfRule type="cellIs" priority="2" dxfId="1" operator="lessThanOrEqual" stopIfTrue="1">
      <formula>0.2</formula>
    </cfRule>
  </conditionalFormatting>
  <conditionalFormatting sqref="C95:D97 C100:C103">
    <cfRule type="cellIs" priority="3" dxfId="0" operator="lessThan" stopIfTrue="1">
      <formula>0</formula>
    </cfRule>
  </conditionalFormatting>
  <conditionalFormatting sqref="C47:O47 C44:O44">
    <cfRule type="cellIs" priority="4" dxfId="0" operator="lessThan" stopIfTrue="1">
      <formula>0</formula>
    </cfRule>
    <cfRule type="cellIs" priority="5" dxfId="2" operator="greaterThanOrEqual" stopIfTrue="1">
      <formula>0</formula>
    </cfRule>
  </conditionalFormatting>
  <hyperlinks>
    <hyperlink ref="J118" r:id="rId1" display="burkhard@bvenus.de"/>
    <hyperlink ref="F113" r:id="rId2" display="https://www.pv-magazine.de/2014/10/29/photovoltaik-eigenverbrauch-umsatzsteuer-richtig-rechnen/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6"/>
  <headerFooter alignWithMargins="0">
    <oddHeader>&amp;C&amp;"Times New Roman,Standard"&amp;12&amp;A</oddHeader>
    <oddFooter>&amp;C&amp;"Times New Roman,Standard"&amp;12Seite &amp;P</oddFooter>
  </headerFooter>
  <ignoredErrors>
    <ignoredError sqref="D31:N31 J83:K83 C25:N25 C32:N32 H28:N29 G28:G29 E28:F29" unlockedFormula="1"/>
    <ignoredError sqref="C37:N37" 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Burkhard</cp:lastModifiedBy>
  <dcterms:created xsi:type="dcterms:W3CDTF">2017-09-03T15:37:21Z</dcterms:created>
  <dcterms:modified xsi:type="dcterms:W3CDTF">2018-06-12T20:09:49Z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